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702"/>
  <workbookPr codeName="ThisWorkbook"/>
  <mc:AlternateContent xmlns:mc="http://schemas.openxmlformats.org/markup-compatibility/2006">
    <mc:Choice Requires="x15">
      <x15ac:absPath xmlns:x15ac="http://schemas.microsoft.com/office/spreadsheetml/2010/11/ac" url="/Users/ryanminnick/Desktop/"/>
    </mc:Choice>
  </mc:AlternateContent>
  <bookViews>
    <workbookView xWindow="0" yWindow="460" windowWidth="29260" windowHeight="18580" tabRatio="867" firstSheet="1" activeTab="1"/>
  </bookViews>
  <sheets>
    <sheet name="Table-of-Contents" sheetId="14" r:id="rId1"/>
    <sheet name="Self-Assessment_Cases" sheetId="4" r:id="rId2"/>
    <sheet name="Control_Status_def" sheetId="2" r:id="rId3"/>
    <sheet name="References" sheetId="6" r:id="rId4"/>
    <sheet name="Control_Scoring" sheetId="16" r:id="rId5"/>
    <sheet name="CCI_Scoring" sheetId="17" r:id="rId6"/>
  </sheets>
  <definedNames>
    <definedName name="_xlnm._FilterDatabase" localSheetId="5" hidden="1">CCI_Scoring!$A$1:$W$139</definedName>
    <definedName name="_xlnm._FilterDatabase" localSheetId="4" hidden="1">Control_Scoring!$A$1:$W$141</definedName>
    <definedName name="_xlnm._FilterDatabase" localSheetId="1" hidden="1">'Self-Assessment_Cases'!$A$3:$K$653</definedName>
    <definedName name="Status1" localSheetId="5">Table1[Status]</definedName>
    <definedName name="Status1" localSheetId="1">Table1[Status]</definedName>
    <definedName name="Status1">Table1[Status]</definedName>
    <definedName name="status2" localSheetId="5">Table1[Status]</definedName>
    <definedName name="status2">Table1[Status]</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77" i="4" l="1"/>
  <c r="F378" i="4"/>
  <c r="F379" i="4"/>
  <c r="F380" i="4"/>
  <c r="F381" i="4"/>
  <c r="F376" i="4"/>
  <c r="T105" i="16"/>
  <c r="J105" i="16"/>
  <c r="K105" i="16"/>
  <c r="H105" i="16"/>
  <c r="I105" i="16"/>
  <c r="D105" i="16"/>
  <c r="E105" i="16"/>
  <c r="B105" i="16"/>
  <c r="C105" i="16"/>
  <c r="R105" i="16"/>
  <c r="S105" i="16"/>
  <c r="P105" i="16"/>
  <c r="Q105" i="16"/>
  <c r="N105" i="16"/>
  <c r="O105" i="16"/>
  <c r="L105" i="16"/>
  <c r="M105" i="16"/>
  <c r="F105" i="16"/>
  <c r="G105" i="16"/>
  <c r="F66" i="4"/>
  <c r="F67" i="4"/>
  <c r="F68" i="4"/>
  <c r="V105" i="16"/>
  <c r="T17" i="16"/>
  <c r="J17" i="16"/>
  <c r="K17" i="16"/>
  <c r="H17" i="16"/>
  <c r="I17" i="16"/>
  <c r="D17" i="16"/>
  <c r="E17" i="16"/>
  <c r="B17" i="16"/>
  <c r="C17" i="16"/>
  <c r="F17" i="16"/>
  <c r="G17" i="16"/>
  <c r="L17" i="16"/>
  <c r="M17" i="16"/>
  <c r="N17" i="16"/>
  <c r="O17" i="16"/>
  <c r="P17" i="16"/>
  <c r="Q17" i="16"/>
  <c r="R17" i="16"/>
  <c r="S17" i="16"/>
  <c r="V17" i="16"/>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2" i="17"/>
  <c r="B3" i="17"/>
  <c r="B4" i="17"/>
  <c r="B5" i="17"/>
  <c r="B6" i="17"/>
  <c r="B7" i="17"/>
  <c r="B8" i="17"/>
  <c r="B9" i="17"/>
  <c r="B10" i="17"/>
  <c r="B11" i="17"/>
  <c r="B12" i="17"/>
  <c r="B13" i="17"/>
  <c r="B14" i="17"/>
  <c r="B15" i="17"/>
  <c r="T43" i="17"/>
  <c r="R43" i="17"/>
  <c r="P43" i="17"/>
  <c r="N43" i="17"/>
  <c r="L43" i="17"/>
  <c r="J43" i="17"/>
  <c r="H43" i="17"/>
  <c r="F43" i="17"/>
  <c r="D43" i="17"/>
  <c r="T15" i="17"/>
  <c r="R15" i="17"/>
  <c r="P15" i="17"/>
  <c r="N15" i="17"/>
  <c r="L15" i="17"/>
  <c r="J15" i="17"/>
  <c r="H15" i="17"/>
  <c r="F15" i="17"/>
  <c r="D15" i="17"/>
  <c r="T14" i="17"/>
  <c r="R14" i="17"/>
  <c r="P14" i="17"/>
  <c r="N14" i="17"/>
  <c r="L14" i="17"/>
  <c r="J14" i="17"/>
  <c r="H14" i="17"/>
  <c r="F14" i="17"/>
  <c r="D14" i="17"/>
  <c r="T13" i="17"/>
  <c r="R13" i="17"/>
  <c r="P13" i="17"/>
  <c r="N13" i="17"/>
  <c r="L13" i="17"/>
  <c r="J13" i="17"/>
  <c r="H13" i="17"/>
  <c r="F13" i="17"/>
  <c r="D13" i="17"/>
  <c r="T12" i="17"/>
  <c r="R12" i="17"/>
  <c r="P12" i="17"/>
  <c r="N12" i="17"/>
  <c r="L12" i="17"/>
  <c r="J12" i="17"/>
  <c r="H12" i="17"/>
  <c r="F12" i="17"/>
  <c r="D12" i="17"/>
  <c r="T11" i="17"/>
  <c r="R11" i="17"/>
  <c r="P11" i="17"/>
  <c r="N11" i="17"/>
  <c r="L11" i="17"/>
  <c r="J11" i="17"/>
  <c r="H11" i="17"/>
  <c r="F11" i="17"/>
  <c r="D11" i="17"/>
  <c r="T10" i="17"/>
  <c r="R10" i="17"/>
  <c r="P10" i="17"/>
  <c r="N10" i="17"/>
  <c r="L10" i="17"/>
  <c r="J10" i="17"/>
  <c r="H10" i="17"/>
  <c r="F10" i="17"/>
  <c r="D10" i="17"/>
  <c r="T9" i="17"/>
  <c r="R9" i="17"/>
  <c r="P9" i="17"/>
  <c r="N9" i="17"/>
  <c r="L9" i="17"/>
  <c r="J9" i="17"/>
  <c r="H9" i="17"/>
  <c r="F9" i="17"/>
  <c r="D9" i="17"/>
  <c r="T8" i="17"/>
  <c r="R8" i="17"/>
  <c r="P8" i="17"/>
  <c r="N8" i="17"/>
  <c r="L8" i="17"/>
  <c r="J8" i="17"/>
  <c r="H8" i="17"/>
  <c r="F8" i="17"/>
  <c r="D8" i="17"/>
  <c r="T7" i="17"/>
  <c r="R7" i="17"/>
  <c r="P7" i="17"/>
  <c r="N7" i="17"/>
  <c r="L7" i="17"/>
  <c r="J7" i="17"/>
  <c r="H7" i="17"/>
  <c r="F7" i="17"/>
  <c r="D7" i="17"/>
  <c r="T6" i="17"/>
  <c r="R6" i="17"/>
  <c r="P6" i="17"/>
  <c r="N6" i="17"/>
  <c r="L6" i="17"/>
  <c r="J6" i="17"/>
  <c r="H6" i="17"/>
  <c r="F6" i="17"/>
  <c r="D6" i="17"/>
  <c r="T5" i="17"/>
  <c r="R5" i="17"/>
  <c r="P5" i="17"/>
  <c r="N5" i="17"/>
  <c r="L5" i="17"/>
  <c r="J5" i="17"/>
  <c r="H5" i="17"/>
  <c r="F5" i="17"/>
  <c r="D5" i="17"/>
  <c r="T4" i="17"/>
  <c r="R4" i="17"/>
  <c r="P4" i="17"/>
  <c r="N4" i="17"/>
  <c r="L4" i="17"/>
  <c r="J4" i="17"/>
  <c r="H4" i="17"/>
  <c r="F4" i="17"/>
  <c r="D4" i="17"/>
  <c r="T3" i="17"/>
  <c r="R3" i="17"/>
  <c r="P3" i="17"/>
  <c r="N3" i="17"/>
  <c r="L3" i="17"/>
  <c r="J3" i="17"/>
  <c r="H3" i="17"/>
  <c r="F3" i="17"/>
  <c r="D3" i="17"/>
  <c r="T2" i="17"/>
  <c r="R2" i="17"/>
  <c r="P2" i="17"/>
  <c r="N2" i="17"/>
  <c r="L2" i="17"/>
  <c r="J2" i="17"/>
  <c r="H2" i="17"/>
  <c r="F2" i="17"/>
  <c r="D2" i="17"/>
  <c r="T139" i="17"/>
  <c r="R139" i="17"/>
  <c r="S139" i="17"/>
  <c r="P139" i="17"/>
  <c r="Q139" i="17"/>
  <c r="N139" i="17"/>
  <c r="O139" i="17"/>
  <c r="L139" i="17"/>
  <c r="M139" i="17"/>
  <c r="J139" i="17"/>
  <c r="K139" i="17"/>
  <c r="H139" i="17"/>
  <c r="I139" i="17"/>
  <c r="F139" i="17"/>
  <c r="G139" i="17"/>
  <c r="D139" i="17"/>
  <c r="E139" i="17"/>
  <c r="T138" i="17"/>
  <c r="R138" i="17"/>
  <c r="S138" i="17"/>
  <c r="P138" i="17"/>
  <c r="Q138" i="17"/>
  <c r="N138" i="17"/>
  <c r="O138" i="17"/>
  <c r="L138" i="17"/>
  <c r="M138" i="17"/>
  <c r="J138" i="17"/>
  <c r="K138" i="17"/>
  <c r="H138" i="17"/>
  <c r="I138" i="17"/>
  <c r="F138" i="17"/>
  <c r="G138" i="17"/>
  <c r="D138" i="17"/>
  <c r="E138" i="17"/>
  <c r="C138" i="17"/>
  <c r="T137" i="17"/>
  <c r="R137" i="17"/>
  <c r="S137" i="17"/>
  <c r="P137" i="17"/>
  <c r="Q137" i="17"/>
  <c r="N137" i="17"/>
  <c r="O137" i="17"/>
  <c r="L137" i="17"/>
  <c r="M137" i="17"/>
  <c r="J137" i="17"/>
  <c r="K137" i="17"/>
  <c r="H137" i="17"/>
  <c r="I137" i="17"/>
  <c r="F137" i="17"/>
  <c r="G137" i="17"/>
  <c r="D137" i="17"/>
  <c r="E137" i="17"/>
  <c r="C137" i="17"/>
  <c r="T136" i="17"/>
  <c r="R136" i="17"/>
  <c r="S136" i="17"/>
  <c r="P136" i="17"/>
  <c r="Q136" i="17"/>
  <c r="N136" i="17"/>
  <c r="O136" i="17"/>
  <c r="L136" i="17"/>
  <c r="M136" i="17"/>
  <c r="J136" i="17"/>
  <c r="K136" i="17"/>
  <c r="H136" i="17"/>
  <c r="I136" i="17"/>
  <c r="F136" i="17"/>
  <c r="G136" i="17"/>
  <c r="D136" i="17"/>
  <c r="E136" i="17"/>
  <c r="T135" i="17"/>
  <c r="R135" i="17"/>
  <c r="S135" i="17"/>
  <c r="P135" i="17"/>
  <c r="Q135" i="17"/>
  <c r="N135" i="17"/>
  <c r="O135" i="17"/>
  <c r="L135" i="17"/>
  <c r="M135" i="17"/>
  <c r="J135" i="17"/>
  <c r="K135" i="17"/>
  <c r="H135" i="17"/>
  <c r="I135" i="17"/>
  <c r="F135" i="17"/>
  <c r="G135" i="17"/>
  <c r="D135" i="17"/>
  <c r="E135" i="17"/>
  <c r="T134" i="17"/>
  <c r="R134" i="17"/>
  <c r="S134" i="17"/>
  <c r="P134" i="17"/>
  <c r="Q134" i="17"/>
  <c r="N134" i="17"/>
  <c r="O134" i="17"/>
  <c r="L134" i="17"/>
  <c r="M134" i="17"/>
  <c r="J134" i="17"/>
  <c r="K134" i="17"/>
  <c r="H134" i="17"/>
  <c r="I134" i="17"/>
  <c r="F134" i="17"/>
  <c r="G134" i="17"/>
  <c r="D134" i="17"/>
  <c r="E134" i="17"/>
  <c r="T133" i="17"/>
  <c r="R133" i="17"/>
  <c r="S133" i="17"/>
  <c r="P133" i="17"/>
  <c r="Q133" i="17"/>
  <c r="N133" i="17"/>
  <c r="O133" i="17"/>
  <c r="L133" i="17"/>
  <c r="M133" i="17"/>
  <c r="J133" i="17"/>
  <c r="K133" i="17"/>
  <c r="H133" i="17"/>
  <c r="I133" i="17"/>
  <c r="F133" i="17"/>
  <c r="G133" i="17"/>
  <c r="D133" i="17"/>
  <c r="E133" i="17"/>
  <c r="C133" i="17"/>
  <c r="T132" i="17"/>
  <c r="R132" i="17"/>
  <c r="S132" i="17"/>
  <c r="P132" i="17"/>
  <c r="Q132" i="17"/>
  <c r="N132" i="17"/>
  <c r="O132" i="17"/>
  <c r="L132" i="17"/>
  <c r="M132" i="17"/>
  <c r="J132" i="17"/>
  <c r="K132" i="17"/>
  <c r="H132" i="17"/>
  <c r="I132" i="17"/>
  <c r="F132" i="17"/>
  <c r="G132" i="17"/>
  <c r="D132" i="17"/>
  <c r="E132" i="17"/>
  <c r="T131" i="17"/>
  <c r="R131" i="17"/>
  <c r="S131" i="17"/>
  <c r="P131" i="17"/>
  <c r="Q131" i="17"/>
  <c r="N131" i="17"/>
  <c r="O131" i="17"/>
  <c r="L131" i="17"/>
  <c r="M131" i="17"/>
  <c r="J131" i="17"/>
  <c r="K131" i="17"/>
  <c r="H131" i="17"/>
  <c r="I131" i="17"/>
  <c r="F131" i="17"/>
  <c r="G131" i="17"/>
  <c r="D131" i="17"/>
  <c r="E131" i="17"/>
  <c r="T130" i="17"/>
  <c r="R130" i="17"/>
  <c r="S130" i="17"/>
  <c r="P130" i="17"/>
  <c r="Q130" i="17"/>
  <c r="N130" i="17"/>
  <c r="O130" i="17"/>
  <c r="L130" i="17"/>
  <c r="M130" i="17"/>
  <c r="J130" i="17"/>
  <c r="K130" i="17"/>
  <c r="H130" i="17"/>
  <c r="I130" i="17"/>
  <c r="F130" i="17"/>
  <c r="G130" i="17"/>
  <c r="D130" i="17"/>
  <c r="E130" i="17"/>
  <c r="C130" i="17"/>
  <c r="T129" i="17"/>
  <c r="R129" i="17"/>
  <c r="S129" i="17"/>
  <c r="P129" i="17"/>
  <c r="Q129" i="17"/>
  <c r="N129" i="17"/>
  <c r="O129" i="17"/>
  <c r="L129" i="17"/>
  <c r="M129" i="17"/>
  <c r="J129" i="17"/>
  <c r="K129" i="17"/>
  <c r="H129" i="17"/>
  <c r="I129" i="17"/>
  <c r="F129" i="17"/>
  <c r="G129" i="17"/>
  <c r="D129" i="17"/>
  <c r="E129" i="17"/>
  <c r="T128" i="17"/>
  <c r="R128" i="17"/>
  <c r="S128" i="17"/>
  <c r="P128" i="17"/>
  <c r="Q128" i="17"/>
  <c r="N128" i="17"/>
  <c r="O128" i="17"/>
  <c r="L128" i="17"/>
  <c r="M128" i="17"/>
  <c r="J128" i="17"/>
  <c r="K128" i="17"/>
  <c r="H128" i="17"/>
  <c r="I128" i="17"/>
  <c r="F128" i="17"/>
  <c r="G128" i="17"/>
  <c r="D128" i="17"/>
  <c r="E128" i="17"/>
  <c r="T127" i="17"/>
  <c r="R127" i="17"/>
  <c r="S127" i="17"/>
  <c r="P127" i="17"/>
  <c r="Q127" i="17"/>
  <c r="N127" i="17"/>
  <c r="O127" i="17"/>
  <c r="L127" i="17"/>
  <c r="M127" i="17"/>
  <c r="J127" i="17"/>
  <c r="K127" i="17"/>
  <c r="H127" i="17"/>
  <c r="I127" i="17"/>
  <c r="F127" i="17"/>
  <c r="G127" i="17"/>
  <c r="D127" i="17"/>
  <c r="E127" i="17"/>
  <c r="C127" i="17"/>
  <c r="T126" i="17"/>
  <c r="R126" i="17"/>
  <c r="S126" i="17"/>
  <c r="P126" i="17"/>
  <c r="Q126" i="17"/>
  <c r="N126" i="17"/>
  <c r="O126" i="17"/>
  <c r="L126" i="17"/>
  <c r="M126" i="17"/>
  <c r="J126" i="17"/>
  <c r="K126" i="17"/>
  <c r="H126" i="17"/>
  <c r="I126" i="17"/>
  <c r="F126" i="17"/>
  <c r="G126" i="17"/>
  <c r="D126" i="17"/>
  <c r="E126" i="17"/>
  <c r="C126" i="17"/>
  <c r="T125" i="17"/>
  <c r="R125" i="17"/>
  <c r="S125" i="17"/>
  <c r="P125" i="17"/>
  <c r="Q125" i="17"/>
  <c r="N125" i="17"/>
  <c r="O125" i="17"/>
  <c r="L125" i="17"/>
  <c r="M125" i="17"/>
  <c r="J125" i="17"/>
  <c r="K125" i="17"/>
  <c r="H125" i="17"/>
  <c r="I125" i="17"/>
  <c r="F125" i="17"/>
  <c r="G125" i="17"/>
  <c r="D125" i="17"/>
  <c r="E125" i="17"/>
  <c r="T124" i="17"/>
  <c r="R124" i="17"/>
  <c r="S124" i="17"/>
  <c r="P124" i="17"/>
  <c r="Q124" i="17"/>
  <c r="N124" i="17"/>
  <c r="O124" i="17"/>
  <c r="L124" i="17"/>
  <c r="M124" i="17"/>
  <c r="J124" i="17"/>
  <c r="K124" i="17"/>
  <c r="H124" i="17"/>
  <c r="I124" i="17"/>
  <c r="F124" i="17"/>
  <c r="G124" i="17"/>
  <c r="D124" i="17"/>
  <c r="E124" i="17"/>
  <c r="C124" i="17"/>
  <c r="T123" i="17"/>
  <c r="R123" i="17"/>
  <c r="S123" i="17"/>
  <c r="P123" i="17"/>
  <c r="Q123" i="17"/>
  <c r="N123" i="17"/>
  <c r="O123" i="17"/>
  <c r="L123" i="17"/>
  <c r="M123" i="17"/>
  <c r="J123" i="17"/>
  <c r="K123" i="17"/>
  <c r="H123" i="17"/>
  <c r="I123" i="17"/>
  <c r="F123" i="17"/>
  <c r="G123" i="17"/>
  <c r="D123" i="17"/>
  <c r="E123" i="17"/>
  <c r="C123" i="17"/>
  <c r="T122" i="17"/>
  <c r="R122" i="17"/>
  <c r="S122" i="17"/>
  <c r="P122" i="17"/>
  <c r="Q122" i="17"/>
  <c r="N122" i="17"/>
  <c r="O122" i="17"/>
  <c r="L122" i="17"/>
  <c r="M122" i="17"/>
  <c r="J122" i="17"/>
  <c r="K122" i="17"/>
  <c r="H122" i="17"/>
  <c r="I122" i="17"/>
  <c r="F122" i="17"/>
  <c r="G122" i="17"/>
  <c r="D122" i="17"/>
  <c r="E122" i="17"/>
  <c r="C122" i="17"/>
  <c r="T121" i="17"/>
  <c r="R121" i="17"/>
  <c r="S121" i="17"/>
  <c r="P121" i="17"/>
  <c r="Q121" i="17"/>
  <c r="N121" i="17"/>
  <c r="O121" i="17"/>
  <c r="L121" i="17"/>
  <c r="M121" i="17"/>
  <c r="J121" i="17"/>
  <c r="K121" i="17"/>
  <c r="H121" i="17"/>
  <c r="I121" i="17"/>
  <c r="F121" i="17"/>
  <c r="G121" i="17"/>
  <c r="D121" i="17"/>
  <c r="E121" i="17"/>
  <c r="C121" i="17"/>
  <c r="T120" i="17"/>
  <c r="R120" i="17"/>
  <c r="S120" i="17"/>
  <c r="P120" i="17"/>
  <c r="Q120" i="17"/>
  <c r="N120" i="17"/>
  <c r="O120" i="17"/>
  <c r="L120" i="17"/>
  <c r="M120" i="17"/>
  <c r="J120" i="17"/>
  <c r="K120" i="17"/>
  <c r="H120" i="17"/>
  <c r="I120" i="17"/>
  <c r="F120" i="17"/>
  <c r="G120" i="17"/>
  <c r="D120" i="17"/>
  <c r="E120" i="17"/>
  <c r="T119" i="17"/>
  <c r="R119" i="17"/>
  <c r="S119" i="17"/>
  <c r="P119" i="17"/>
  <c r="Q119" i="17"/>
  <c r="N119" i="17"/>
  <c r="O119" i="17"/>
  <c r="L119" i="17"/>
  <c r="M119" i="17"/>
  <c r="J119" i="17"/>
  <c r="K119" i="17"/>
  <c r="H119" i="17"/>
  <c r="I119" i="17"/>
  <c r="F119" i="17"/>
  <c r="G119" i="17"/>
  <c r="D119" i="17"/>
  <c r="E119" i="17"/>
  <c r="C119" i="17"/>
  <c r="T118" i="17"/>
  <c r="R118" i="17"/>
  <c r="S118" i="17"/>
  <c r="P118" i="17"/>
  <c r="Q118" i="17"/>
  <c r="N118" i="17"/>
  <c r="O118" i="17"/>
  <c r="L118" i="17"/>
  <c r="M118" i="17"/>
  <c r="J118" i="17"/>
  <c r="K118" i="17"/>
  <c r="H118" i="17"/>
  <c r="I118" i="17"/>
  <c r="F118" i="17"/>
  <c r="G118" i="17"/>
  <c r="D118" i="17"/>
  <c r="E118" i="17"/>
  <c r="C118" i="17"/>
  <c r="T117" i="17"/>
  <c r="R117" i="17"/>
  <c r="S117" i="17"/>
  <c r="P117" i="17"/>
  <c r="Q117" i="17"/>
  <c r="N117" i="17"/>
  <c r="O117" i="17"/>
  <c r="L117" i="17"/>
  <c r="M117" i="17"/>
  <c r="J117" i="17"/>
  <c r="K117" i="17"/>
  <c r="H117" i="17"/>
  <c r="I117" i="17"/>
  <c r="F117" i="17"/>
  <c r="G117" i="17"/>
  <c r="D117" i="17"/>
  <c r="E117" i="17"/>
  <c r="C117" i="17"/>
  <c r="T116" i="17"/>
  <c r="R116" i="17"/>
  <c r="S116" i="17"/>
  <c r="P116" i="17"/>
  <c r="Q116" i="17"/>
  <c r="N116" i="17"/>
  <c r="O116" i="17"/>
  <c r="L116" i="17"/>
  <c r="M116" i="17"/>
  <c r="J116" i="17"/>
  <c r="K116" i="17"/>
  <c r="H116" i="17"/>
  <c r="I116" i="17"/>
  <c r="F116" i="17"/>
  <c r="G116" i="17"/>
  <c r="D116" i="17"/>
  <c r="E116" i="17"/>
  <c r="C116" i="17"/>
  <c r="T115" i="17"/>
  <c r="R115" i="17"/>
  <c r="S115" i="17"/>
  <c r="P115" i="17"/>
  <c r="Q115" i="17"/>
  <c r="N115" i="17"/>
  <c r="O115" i="17"/>
  <c r="L115" i="17"/>
  <c r="M115" i="17"/>
  <c r="J115" i="17"/>
  <c r="K115" i="17"/>
  <c r="H115" i="17"/>
  <c r="I115" i="17"/>
  <c r="F115" i="17"/>
  <c r="G115" i="17"/>
  <c r="D115" i="17"/>
  <c r="E115" i="17"/>
  <c r="T114" i="17"/>
  <c r="R114" i="17"/>
  <c r="S114" i="17"/>
  <c r="P114" i="17"/>
  <c r="Q114" i="17"/>
  <c r="N114" i="17"/>
  <c r="O114" i="17"/>
  <c r="L114" i="17"/>
  <c r="M114" i="17"/>
  <c r="J114" i="17"/>
  <c r="K114" i="17"/>
  <c r="H114" i="17"/>
  <c r="I114" i="17"/>
  <c r="F114" i="17"/>
  <c r="G114" i="17"/>
  <c r="D114" i="17"/>
  <c r="E114" i="17"/>
  <c r="C114" i="17"/>
  <c r="T113" i="17"/>
  <c r="R113" i="17"/>
  <c r="S113" i="17"/>
  <c r="P113" i="17"/>
  <c r="Q113" i="17"/>
  <c r="N113" i="17"/>
  <c r="O113" i="17"/>
  <c r="L113" i="17"/>
  <c r="M113" i="17"/>
  <c r="J113" i="17"/>
  <c r="K113" i="17"/>
  <c r="H113" i="17"/>
  <c r="I113" i="17"/>
  <c r="F113" i="17"/>
  <c r="G113" i="17"/>
  <c r="D113" i="17"/>
  <c r="E113" i="17"/>
  <c r="T112" i="17"/>
  <c r="R112" i="17"/>
  <c r="S112" i="17"/>
  <c r="P112" i="17"/>
  <c r="Q112" i="17"/>
  <c r="N112" i="17"/>
  <c r="O112" i="17"/>
  <c r="L112" i="17"/>
  <c r="M112" i="17"/>
  <c r="J112" i="17"/>
  <c r="K112" i="17"/>
  <c r="H112" i="17"/>
  <c r="I112" i="17"/>
  <c r="F112" i="17"/>
  <c r="G112" i="17"/>
  <c r="D112" i="17"/>
  <c r="E112" i="17"/>
  <c r="T111" i="17"/>
  <c r="R111" i="17"/>
  <c r="S111" i="17"/>
  <c r="P111" i="17"/>
  <c r="Q111" i="17"/>
  <c r="N111" i="17"/>
  <c r="O111" i="17"/>
  <c r="L111" i="17"/>
  <c r="M111" i="17"/>
  <c r="J111" i="17"/>
  <c r="K111" i="17"/>
  <c r="H111" i="17"/>
  <c r="I111" i="17"/>
  <c r="F111" i="17"/>
  <c r="D111" i="17"/>
  <c r="E111" i="17"/>
  <c r="C111" i="17"/>
  <c r="T110" i="17"/>
  <c r="R110" i="17"/>
  <c r="S110" i="17"/>
  <c r="P110" i="17"/>
  <c r="Q110" i="17"/>
  <c r="N110" i="17"/>
  <c r="O110" i="17"/>
  <c r="L110" i="17"/>
  <c r="M110" i="17"/>
  <c r="J110" i="17"/>
  <c r="K110" i="17"/>
  <c r="H110" i="17"/>
  <c r="I110" i="17"/>
  <c r="F110" i="17"/>
  <c r="G110" i="17"/>
  <c r="D110" i="17"/>
  <c r="E110" i="17"/>
  <c r="C110" i="17"/>
  <c r="T109" i="17"/>
  <c r="R109" i="17"/>
  <c r="S109" i="17"/>
  <c r="P109" i="17"/>
  <c r="Q109" i="17"/>
  <c r="N109" i="17"/>
  <c r="O109" i="17"/>
  <c r="L109" i="17"/>
  <c r="M109" i="17"/>
  <c r="J109" i="17"/>
  <c r="K109" i="17"/>
  <c r="H109" i="17"/>
  <c r="I109" i="17"/>
  <c r="F109" i="17"/>
  <c r="G109" i="17"/>
  <c r="D109" i="17"/>
  <c r="E109" i="17"/>
  <c r="T108" i="17"/>
  <c r="R108" i="17"/>
  <c r="S108" i="17"/>
  <c r="P108" i="17"/>
  <c r="Q108" i="17"/>
  <c r="N108" i="17"/>
  <c r="O108" i="17"/>
  <c r="L108" i="17"/>
  <c r="M108" i="17"/>
  <c r="J108" i="17"/>
  <c r="K108" i="17"/>
  <c r="H108" i="17"/>
  <c r="I108" i="17"/>
  <c r="F108" i="17"/>
  <c r="G108" i="17"/>
  <c r="D108" i="17"/>
  <c r="E108" i="17"/>
  <c r="C108" i="17"/>
  <c r="T107" i="17"/>
  <c r="R107" i="17"/>
  <c r="S107" i="17"/>
  <c r="P107" i="17"/>
  <c r="Q107" i="17"/>
  <c r="N107" i="17"/>
  <c r="O107" i="17"/>
  <c r="L107" i="17"/>
  <c r="M107" i="17"/>
  <c r="J107" i="17"/>
  <c r="K107" i="17"/>
  <c r="H107" i="17"/>
  <c r="I107" i="17"/>
  <c r="F107" i="17"/>
  <c r="G107" i="17"/>
  <c r="D107" i="17"/>
  <c r="E107" i="17"/>
  <c r="T106" i="17"/>
  <c r="R106" i="17"/>
  <c r="S106" i="17"/>
  <c r="P106" i="17"/>
  <c r="Q106" i="17"/>
  <c r="N106" i="17"/>
  <c r="O106" i="17"/>
  <c r="L106" i="17"/>
  <c r="M106" i="17"/>
  <c r="J106" i="17"/>
  <c r="K106" i="17"/>
  <c r="H106" i="17"/>
  <c r="I106" i="17"/>
  <c r="F106" i="17"/>
  <c r="G106" i="17"/>
  <c r="D106" i="17"/>
  <c r="E106" i="17"/>
  <c r="T105" i="17"/>
  <c r="R105" i="17"/>
  <c r="S105" i="17"/>
  <c r="P105" i="17"/>
  <c r="Q105" i="17"/>
  <c r="N105" i="17"/>
  <c r="O105" i="17"/>
  <c r="L105" i="17"/>
  <c r="M105" i="17"/>
  <c r="J105" i="17"/>
  <c r="K105" i="17"/>
  <c r="H105" i="17"/>
  <c r="I105" i="17"/>
  <c r="F105" i="17"/>
  <c r="G105" i="17"/>
  <c r="D105" i="17"/>
  <c r="E105" i="17"/>
  <c r="C105" i="17"/>
  <c r="T104" i="17"/>
  <c r="R104" i="17"/>
  <c r="S104" i="17"/>
  <c r="P104" i="17"/>
  <c r="Q104" i="17"/>
  <c r="N104" i="17"/>
  <c r="O104" i="17"/>
  <c r="L104" i="17"/>
  <c r="M104" i="17"/>
  <c r="J104" i="17"/>
  <c r="K104" i="17"/>
  <c r="H104" i="17"/>
  <c r="I104" i="17"/>
  <c r="F104" i="17"/>
  <c r="G104" i="17"/>
  <c r="D104" i="17"/>
  <c r="E104" i="17"/>
  <c r="T103" i="17"/>
  <c r="R103" i="17"/>
  <c r="S103" i="17"/>
  <c r="P103" i="17"/>
  <c r="Q103" i="17"/>
  <c r="N103" i="17"/>
  <c r="O103" i="17"/>
  <c r="L103" i="17"/>
  <c r="M103" i="17"/>
  <c r="J103" i="17"/>
  <c r="K103" i="17"/>
  <c r="H103" i="17"/>
  <c r="I103" i="17"/>
  <c r="F103" i="17"/>
  <c r="G103" i="17"/>
  <c r="D103" i="17"/>
  <c r="E103" i="17"/>
  <c r="T102" i="17"/>
  <c r="R102" i="17"/>
  <c r="S102" i="17"/>
  <c r="P102" i="17"/>
  <c r="Q102" i="17"/>
  <c r="N102" i="17"/>
  <c r="O102" i="17"/>
  <c r="L102" i="17"/>
  <c r="M102" i="17"/>
  <c r="J102" i="17"/>
  <c r="K102" i="17"/>
  <c r="H102" i="17"/>
  <c r="I102" i="17"/>
  <c r="F102" i="17"/>
  <c r="G102" i="17"/>
  <c r="D102" i="17"/>
  <c r="E102" i="17"/>
  <c r="C102" i="17"/>
  <c r="T101" i="17"/>
  <c r="R101" i="17"/>
  <c r="S101" i="17"/>
  <c r="P101" i="17"/>
  <c r="Q101" i="17"/>
  <c r="N101" i="17"/>
  <c r="O101" i="17"/>
  <c r="L101" i="17"/>
  <c r="M101" i="17"/>
  <c r="J101" i="17"/>
  <c r="K101" i="17"/>
  <c r="H101" i="17"/>
  <c r="I101" i="17"/>
  <c r="F101" i="17"/>
  <c r="G101" i="17"/>
  <c r="D101" i="17"/>
  <c r="E101" i="17"/>
  <c r="C101" i="17"/>
  <c r="T100" i="17"/>
  <c r="R100" i="17"/>
  <c r="S100" i="17"/>
  <c r="P100" i="17"/>
  <c r="Q100" i="17"/>
  <c r="N100" i="17"/>
  <c r="O100" i="17"/>
  <c r="L100" i="17"/>
  <c r="M100" i="17"/>
  <c r="J100" i="17"/>
  <c r="K100" i="17"/>
  <c r="H100" i="17"/>
  <c r="I100" i="17"/>
  <c r="F100" i="17"/>
  <c r="G100" i="17"/>
  <c r="D100" i="17"/>
  <c r="E100" i="17"/>
  <c r="C100" i="17"/>
  <c r="T99" i="17"/>
  <c r="R99" i="17"/>
  <c r="S99" i="17"/>
  <c r="P99" i="17"/>
  <c r="Q99" i="17"/>
  <c r="N99" i="17"/>
  <c r="O99" i="17"/>
  <c r="L99" i="17"/>
  <c r="M99" i="17"/>
  <c r="J99" i="17"/>
  <c r="K99" i="17"/>
  <c r="H99" i="17"/>
  <c r="I99" i="17"/>
  <c r="F99" i="17"/>
  <c r="G99" i="17"/>
  <c r="D99" i="17"/>
  <c r="E99" i="17"/>
  <c r="T98" i="17"/>
  <c r="R98" i="17"/>
  <c r="S98" i="17"/>
  <c r="P98" i="17"/>
  <c r="Q98" i="17"/>
  <c r="N98" i="17"/>
  <c r="O98" i="17"/>
  <c r="L98" i="17"/>
  <c r="M98" i="17"/>
  <c r="J98" i="17"/>
  <c r="K98" i="17"/>
  <c r="H98" i="17"/>
  <c r="I98" i="17"/>
  <c r="F98" i="17"/>
  <c r="G98" i="17"/>
  <c r="D98" i="17"/>
  <c r="E98" i="17"/>
  <c r="T97" i="17"/>
  <c r="R97" i="17"/>
  <c r="S97" i="17"/>
  <c r="P97" i="17"/>
  <c r="Q97" i="17"/>
  <c r="N97" i="17"/>
  <c r="O97" i="17"/>
  <c r="L97" i="17"/>
  <c r="M97" i="17"/>
  <c r="J97" i="17"/>
  <c r="K97" i="17"/>
  <c r="H97" i="17"/>
  <c r="I97" i="17"/>
  <c r="F97" i="17"/>
  <c r="G97" i="17"/>
  <c r="D97" i="17"/>
  <c r="E97" i="17"/>
  <c r="C97" i="17"/>
  <c r="T96" i="17"/>
  <c r="R96" i="17"/>
  <c r="S96" i="17"/>
  <c r="P96" i="17"/>
  <c r="Q96" i="17"/>
  <c r="N96" i="17"/>
  <c r="O96" i="17"/>
  <c r="L96" i="17"/>
  <c r="M96" i="17"/>
  <c r="J96" i="17"/>
  <c r="K96" i="17"/>
  <c r="H96" i="17"/>
  <c r="I96" i="17"/>
  <c r="F96" i="17"/>
  <c r="G96" i="17"/>
  <c r="D96" i="17"/>
  <c r="E96" i="17"/>
  <c r="T95" i="17"/>
  <c r="R95" i="17"/>
  <c r="S95" i="17"/>
  <c r="P95" i="17"/>
  <c r="Q95" i="17"/>
  <c r="N95" i="17"/>
  <c r="O95" i="17"/>
  <c r="L95" i="17"/>
  <c r="M95" i="17"/>
  <c r="J95" i="17"/>
  <c r="K95" i="17"/>
  <c r="H95" i="17"/>
  <c r="I95" i="17"/>
  <c r="F95" i="17"/>
  <c r="G95" i="17"/>
  <c r="D95" i="17"/>
  <c r="E95" i="17"/>
  <c r="T94" i="17"/>
  <c r="R94" i="17"/>
  <c r="S94" i="17"/>
  <c r="P94" i="17"/>
  <c r="Q94" i="17"/>
  <c r="N94" i="17"/>
  <c r="O94" i="17"/>
  <c r="L94" i="17"/>
  <c r="M94" i="17"/>
  <c r="J94" i="17"/>
  <c r="K94" i="17"/>
  <c r="H94" i="17"/>
  <c r="I94" i="17"/>
  <c r="F94" i="17"/>
  <c r="G94" i="17"/>
  <c r="D94" i="17"/>
  <c r="E94" i="17"/>
  <c r="T93" i="17"/>
  <c r="R93" i="17"/>
  <c r="S93" i="17"/>
  <c r="P93" i="17"/>
  <c r="Q93" i="17"/>
  <c r="N93" i="17"/>
  <c r="O93" i="17"/>
  <c r="L93" i="17"/>
  <c r="M93" i="17"/>
  <c r="J93" i="17"/>
  <c r="K93" i="17"/>
  <c r="H93" i="17"/>
  <c r="I93" i="17"/>
  <c r="F93" i="17"/>
  <c r="G93" i="17"/>
  <c r="D93" i="17"/>
  <c r="E93" i="17"/>
  <c r="C93" i="17"/>
  <c r="T92" i="17"/>
  <c r="R92" i="17"/>
  <c r="S92" i="17"/>
  <c r="P92" i="17"/>
  <c r="Q92" i="17"/>
  <c r="N92" i="17"/>
  <c r="O92" i="17"/>
  <c r="L92" i="17"/>
  <c r="M92" i="17"/>
  <c r="J92" i="17"/>
  <c r="K92" i="17"/>
  <c r="H92" i="17"/>
  <c r="I92" i="17"/>
  <c r="F92" i="17"/>
  <c r="G92" i="17"/>
  <c r="D92" i="17"/>
  <c r="E92" i="17"/>
  <c r="C92" i="17"/>
  <c r="T91" i="17"/>
  <c r="R91" i="17"/>
  <c r="S91" i="17"/>
  <c r="P91" i="17"/>
  <c r="Q91" i="17"/>
  <c r="N91" i="17"/>
  <c r="O91" i="17"/>
  <c r="L91" i="17"/>
  <c r="M91" i="17"/>
  <c r="J91" i="17"/>
  <c r="K91" i="17"/>
  <c r="H91" i="17"/>
  <c r="I91" i="17"/>
  <c r="F91" i="17"/>
  <c r="G91" i="17"/>
  <c r="D91" i="17"/>
  <c r="E91" i="17"/>
  <c r="T90" i="17"/>
  <c r="R90" i="17"/>
  <c r="S90" i="17"/>
  <c r="P90" i="17"/>
  <c r="Q90" i="17"/>
  <c r="N90" i="17"/>
  <c r="O90" i="17"/>
  <c r="L90" i="17"/>
  <c r="M90" i="17"/>
  <c r="J90" i="17"/>
  <c r="K90" i="17"/>
  <c r="H90" i="17"/>
  <c r="I90" i="17"/>
  <c r="F90" i="17"/>
  <c r="G90" i="17"/>
  <c r="D90" i="17"/>
  <c r="E90" i="17"/>
  <c r="T89" i="17"/>
  <c r="R89" i="17"/>
  <c r="S89" i="17"/>
  <c r="P89" i="17"/>
  <c r="Q89" i="17"/>
  <c r="N89" i="17"/>
  <c r="O89" i="17"/>
  <c r="L89" i="17"/>
  <c r="M89" i="17"/>
  <c r="J89" i="17"/>
  <c r="K89" i="17"/>
  <c r="H89" i="17"/>
  <c r="I89" i="17"/>
  <c r="F89" i="17"/>
  <c r="G89" i="17"/>
  <c r="D89" i="17"/>
  <c r="E89" i="17"/>
  <c r="C89" i="17"/>
  <c r="T88" i="17"/>
  <c r="R88" i="17"/>
  <c r="S88" i="17"/>
  <c r="P88" i="17"/>
  <c r="Q88" i="17"/>
  <c r="N88" i="17"/>
  <c r="O88" i="17"/>
  <c r="L88" i="17"/>
  <c r="M88" i="17"/>
  <c r="J88" i="17"/>
  <c r="K88" i="17"/>
  <c r="H88" i="17"/>
  <c r="I88" i="17"/>
  <c r="F88" i="17"/>
  <c r="G88" i="17"/>
  <c r="D88" i="17"/>
  <c r="E88" i="17"/>
  <c r="T87" i="17"/>
  <c r="R87" i="17"/>
  <c r="S87" i="17"/>
  <c r="P87" i="17"/>
  <c r="Q87" i="17"/>
  <c r="N87" i="17"/>
  <c r="O87" i="17"/>
  <c r="L87" i="17"/>
  <c r="M87" i="17"/>
  <c r="J87" i="17"/>
  <c r="K87" i="17"/>
  <c r="H87" i="17"/>
  <c r="I87" i="17"/>
  <c r="F87" i="17"/>
  <c r="G87" i="17"/>
  <c r="D87" i="17"/>
  <c r="E87" i="17"/>
  <c r="C87" i="17"/>
  <c r="T86" i="17"/>
  <c r="R86" i="17"/>
  <c r="S86" i="17"/>
  <c r="P86" i="17"/>
  <c r="Q86" i="17"/>
  <c r="N86" i="17"/>
  <c r="O86" i="17"/>
  <c r="L86" i="17"/>
  <c r="M86" i="17"/>
  <c r="J86" i="17"/>
  <c r="K86" i="17"/>
  <c r="H86" i="17"/>
  <c r="I86" i="17"/>
  <c r="F86" i="17"/>
  <c r="G86" i="17"/>
  <c r="D86" i="17"/>
  <c r="E86" i="17"/>
  <c r="C86" i="17"/>
  <c r="T85" i="17"/>
  <c r="R85" i="17"/>
  <c r="S85" i="17"/>
  <c r="P85" i="17"/>
  <c r="Q85" i="17"/>
  <c r="N85" i="17"/>
  <c r="O85" i="17"/>
  <c r="L85" i="17"/>
  <c r="M85" i="17"/>
  <c r="J85" i="17"/>
  <c r="K85" i="17"/>
  <c r="H85" i="17"/>
  <c r="I85" i="17"/>
  <c r="F85" i="17"/>
  <c r="G85" i="17"/>
  <c r="D85" i="17"/>
  <c r="E85" i="17"/>
  <c r="C85" i="17"/>
  <c r="T84" i="17"/>
  <c r="R84" i="17"/>
  <c r="S84" i="17"/>
  <c r="P84" i="17"/>
  <c r="Q84" i="17"/>
  <c r="N84" i="17"/>
  <c r="O84" i="17"/>
  <c r="L84" i="17"/>
  <c r="M84" i="17"/>
  <c r="J84" i="17"/>
  <c r="K84" i="17"/>
  <c r="H84" i="17"/>
  <c r="I84" i="17"/>
  <c r="F84" i="17"/>
  <c r="G84" i="17"/>
  <c r="D84" i="17"/>
  <c r="E84" i="17"/>
  <c r="T83" i="17"/>
  <c r="R83" i="17"/>
  <c r="S83" i="17"/>
  <c r="P83" i="17"/>
  <c r="Q83" i="17"/>
  <c r="N83" i="17"/>
  <c r="O83" i="17"/>
  <c r="L83" i="17"/>
  <c r="M83" i="17"/>
  <c r="J83" i="17"/>
  <c r="K83" i="17"/>
  <c r="H83" i="17"/>
  <c r="I83" i="17"/>
  <c r="F83" i="17"/>
  <c r="G83" i="17"/>
  <c r="D83" i="17"/>
  <c r="E83" i="17"/>
  <c r="T82" i="17"/>
  <c r="R82" i="17"/>
  <c r="S82" i="17"/>
  <c r="P82" i="17"/>
  <c r="Q82" i="17"/>
  <c r="N82" i="17"/>
  <c r="O82" i="17"/>
  <c r="L82" i="17"/>
  <c r="M82" i="17"/>
  <c r="J82" i="17"/>
  <c r="K82" i="17"/>
  <c r="H82" i="17"/>
  <c r="I82" i="17"/>
  <c r="F82" i="17"/>
  <c r="G82" i="17"/>
  <c r="D82" i="17"/>
  <c r="E82" i="17"/>
  <c r="T81" i="17"/>
  <c r="R81" i="17"/>
  <c r="S81" i="17"/>
  <c r="P81" i="17"/>
  <c r="Q81" i="17"/>
  <c r="N81" i="17"/>
  <c r="O81" i="17"/>
  <c r="L81" i="17"/>
  <c r="M81" i="17"/>
  <c r="J81" i="17"/>
  <c r="K81" i="17"/>
  <c r="H81" i="17"/>
  <c r="I81" i="17"/>
  <c r="F81" i="17"/>
  <c r="G81" i="17"/>
  <c r="D81" i="17"/>
  <c r="E81" i="17"/>
  <c r="C81" i="17"/>
  <c r="T80" i="17"/>
  <c r="R80" i="17"/>
  <c r="S80" i="17"/>
  <c r="P80" i="17"/>
  <c r="Q80" i="17"/>
  <c r="N80" i="17"/>
  <c r="O80" i="17"/>
  <c r="L80" i="17"/>
  <c r="M80" i="17"/>
  <c r="J80" i="17"/>
  <c r="K80" i="17"/>
  <c r="H80" i="17"/>
  <c r="I80" i="17"/>
  <c r="F80" i="17"/>
  <c r="G80" i="17"/>
  <c r="D80" i="17"/>
  <c r="E80" i="17"/>
  <c r="T79" i="17"/>
  <c r="R79" i="17"/>
  <c r="S79" i="17"/>
  <c r="P79" i="17"/>
  <c r="Q79" i="17"/>
  <c r="N79" i="17"/>
  <c r="O79" i="17"/>
  <c r="L79" i="17"/>
  <c r="M79" i="17"/>
  <c r="J79" i="17"/>
  <c r="K79" i="17"/>
  <c r="H79" i="17"/>
  <c r="I79" i="17"/>
  <c r="F79" i="17"/>
  <c r="G79" i="17"/>
  <c r="D79" i="17"/>
  <c r="E79" i="17"/>
  <c r="T78" i="17"/>
  <c r="R78" i="17"/>
  <c r="S78" i="17"/>
  <c r="P78" i="17"/>
  <c r="Q78" i="17"/>
  <c r="N78" i="17"/>
  <c r="O78" i="17"/>
  <c r="L78" i="17"/>
  <c r="M78" i="17"/>
  <c r="J78" i="17"/>
  <c r="K78" i="17"/>
  <c r="H78" i="17"/>
  <c r="I78" i="17"/>
  <c r="F78" i="17"/>
  <c r="G78" i="17"/>
  <c r="D78" i="17"/>
  <c r="E78" i="17"/>
  <c r="C78" i="17"/>
  <c r="T77" i="17"/>
  <c r="R77" i="17"/>
  <c r="S77" i="17"/>
  <c r="P77" i="17"/>
  <c r="Q77" i="17"/>
  <c r="N77" i="17"/>
  <c r="O77" i="17"/>
  <c r="L77" i="17"/>
  <c r="M77" i="17"/>
  <c r="J77" i="17"/>
  <c r="K77" i="17"/>
  <c r="H77" i="17"/>
  <c r="I77" i="17"/>
  <c r="F77" i="17"/>
  <c r="G77" i="17"/>
  <c r="D77" i="17"/>
  <c r="E77" i="17"/>
  <c r="C77" i="17"/>
  <c r="T76" i="17"/>
  <c r="R76" i="17"/>
  <c r="S76" i="17"/>
  <c r="P76" i="17"/>
  <c r="Q76" i="17"/>
  <c r="N76" i="17"/>
  <c r="O76" i="17"/>
  <c r="L76" i="17"/>
  <c r="M76" i="17"/>
  <c r="J76" i="17"/>
  <c r="K76" i="17"/>
  <c r="H76" i="17"/>
  <c r="I76" i="17"/>
  <c r="F76" i="17"/>
  <c r="G76" i="17"/>
  <c r="D76" i="17"/>
  <c r="E76" i="17"/>
  <c r="T75" i="17"/>
  <c r="R75" i="17"/>
  <c r="S75" i="17"/>
  <c r="P75" i="17"/>
  <c r="Q75" i="17"/>
  <c r="N75" i="17"/>
  <c r="O75" i="17"/>
  <c r="L75" i="17"/>
  <c r="M75" i="17"/>
  <c r="J75" i="17"/>
  <c r="K75" i="17"/>
  <c r="H75" i="17"/>
  <c r="I75" i="17"/>
  <c r="F75" i="17"/>
  <c r="G75" i="17"/>
  <c r="D75" i="17"/>
  <c r="E75" i="17"/>
  <c r="T74" i="17"/>
  <c r="R74" i="17"/>
  <c r="S74" i="17"/>
  <c r="P74" i="17"/>
  <c r="Q74" i="17"/>
  <c r="N74" i="17"/>
  <c r="O74" i="17"/>
  <c r="L74" i="17"/>
  <c r="M74" i="17"/>
  <c r="J74" i="17"/>
  <c r="K74" i="17"/>
  <c r="H74" i="17"/>
  <c r="I74" i="17"/>
  <c r="F74" i="17"/>
  <c r="G74" i="17"/>
  <c r="D74" i="17"/>
  <c r="E74" i="17"/>
  <c r="C74" i="17"/>
  <c r="T73" i="17"/>
  <c r="R73" i="17"/>
  <c r="S73" i="17"/>
  <c r="P73" i="17"/>
  <c r="Q73" i="17"/>
  <c r="N73" i="17"/>
  <c r="O73" i="17"/>
  <c r="L73" i="17"/>
  <c r="M73" i="17"/>
  <c r="J73" i="17"/>
  <c r="K73" i="17"/>
  <c r="H73" i="17"/>
  <c r="I73" i="17"/>
  <c r="F73" i="17"/>
  <c r="G73" i="17"/>
  <c r="D73" i="17"/>
  <c r="E73" i="17"/>
  <c r="C73" i="17"/>
  <c r="T72" i="17"/>
  <c r="R72" i="17"/>
  <c r="S72" i="17"/>
  <c r="P72" i="17"/>
  <c r="Q72" i="17"/>
  <c r="N72" i="17"/>
  <c r="O72" i="17"/>
  <c r="L72" i="17"/>
  <c r="M72" i="17"/>
  <c r="J72" i="17"/>
  <c r="K72" i="17"/>
  <c r="H72" i="17"/>
  <c r="I72" i="17"/>
  <c r="F72" i="17"/>
  <c r="G72" i="17"/>
  <c r="D72" i="17"/>
  <c r="E72" i="17"/>
  <c r="C72" i="17"/>
  <c r="T71" i="17"/>
  <c r="R71" i="17"/>
  <c r="S71" i="17"/>
  <c r="P71" i="17"/>
  <c r="Q71" i="17"/>
  <c r="N71" i="17"/>
  <c r="O71" i="17"/>
  <c r="L71" i="17"/>
  <c r="M71" i="17"/>
  <c r="J71" i="17"/>
  <c r="K71" i="17"/>
  <c r="H71" i="17"/>
  <c r="I71" i="17"/>
  <c r="F71" i="17"/>
  <c r="G71" i="17"/>
  <c r="D71" i="17"/>
  <c r="E71" i="17"/>
  <c r="T70" i="17"/>
  <c r="R70" i="17"/>
  <c r="S70" i="17"/>
  <c r="P70" i="17"/>
  <c r="Q70" i="17"/>
  <c r="N70" i="17"/>
  <c r="O70" i="17"/>
  <c r="L70" i="17"/>
  <c r="M70" i="17"/>
  <c r="J70" i="17"/>
  <c r="K70" i="17"/>
  <c r="H70" i="17"/>
  <c r="I70" i="17"/>
  <c r="F70" i="17"/>
  <c r="G70" i="17"/>
  <c r="D70" i="17"/>
  <c r="E70" i="17"/>
  <c r="C70" i="17"/>
  <c r="T69" i="17"/>
  <c r="R69" i="17"/>
  <c r="S69" i="17"/>
  <c r="P69" i="17"/>
  <c r="Q69" i="17"/>
  <c r="N69" i="17"/>
  <c r="O69" i="17"/>
  <c r="L69" i="17"/>
  <c r="M69" i="17"/>
  <c r="J69" i="17"/>
  <c r="K69" i="17"/>
  <c r="H69" i="17"/>
  <c r="I69" i="17"/>
  <c r="F69" i="17"/>
  <c r="G69" i="17"/>
  <c r="D69" i="17"/>
  <c r="E69" i="17"/>
  <c r="C69" i="17"/>
  <c r="T68" i="17"/>
  <c r="R68" i="17"/>
  <c r="S68" i="17"/>
  <c r="P68" i="17"/>
  <c r="Q68" i="17"/>
  <c r="N68" i="17"/>
  <c r="O68" i="17"/>
  <c r="L68" i="17"/>
  <c r="M68" i="17"/>
  <c r="J68" i="17"/>
  <c r="K68" i="17"/>
  <c r="H68" i="17"/>
  <c r="I68" i="17"/>
  <c r="F68" i="17"/>
  <c r="G68" i="17"/>
  <c r="D68" i="17"/>
  <c r="E68" i="17"/>
  <c r="T67" i="17"/>
  <c r="R67" i="17"/>
  <c r="S67" i="17"/>
  <c r="P67" i="17"/>
  <c r="Q67" i="17"/>
  <c r="N67" i="17"/>
  <c r="O67" i="17"/>
  <c r="L67" i="17"/>
  <c r="M67" i="17"/>
  <c r="J67" i="17"/>
  <c r="K67" i="17"/>
  <c r="H67" i="17"/>
  <c r="I67" i="17"/>
  <c r="F67" i="17"/>
  <c r="G67" i="17"/>
  <c r="D67" i="17"/>
  <c r="E67" i="17"/>
  <c r="T66" i="17"/>
  <c r="R66" i="17"/>
  <c r="S66" i="17"/>
  <c r="P66" i="17"/>
  <c r="Q66" i="17"/>
  <c r="N66" i="17"/>
  <c r="O66" i="17"/>
  <c r="L66" i="17"/>
  <c r="M66" i="17"/>
  <c r="J66" i="17"/>
  <c r="K66" i="17"/>
  <c r="H66" i="17"/>
  <c r="I66" i="17"/>
  <c r="F66" i="17"/>
  <c r="G66" i="17"/>
  <c r="D66" i="17"/>
  <c r="E66" i="17"/>
  <c r="C66" i="17"/>
  <c r="T65" i="17"/>
  <c r="R65" i="17"/>
  <c r="S65" i="17"/>
  <c r="P65" i="17"/>
  <c r="Q65" i="17"/>
  <c r="N65" i="17"/>
  <c r="O65" i="17"/>
  <c r="L65" i="17"/>
  <c r="M65" i="17"/>
  <c r="J65" i="17"/>
  <c r="K65" i="17"/>
  <c r="H65" i="17"/>
  <c r="I65" i="17"/>
  <c r="F65" i="17"/>
  <c r="D65" i="17"/>
  <c r="E65" i="17"/>
  <c r="C65" i="17"/>
  <c r="T64" i="17"/>
  <c r="R64" i="17"/>
  <c r="S64" i="17"/>
  <c r="P64" i="17"/>
  <c r="Q64" i="17"/>
  <c r="N64" i="17"/>
  <c r="O64" i="17"/>
  <c r="L64" i="17"/>
  <c r="M64" i="17"/>
  <c r="J64" i="17"/>
  <c r="K64" i="17"/>
  <c r="H64" i="17"/>
  <c r="I64" i="17"/>
  <c r="F64" i="17"/>
  <c r="G64" i="17"/>
  <c r="D64" i="17"/>
  <c r="E64" i="17"/>
  <c r="C64" i="17"/>
  <c r="T63" i="17"/>
  <c r="R63" i="17"/>
  <c r="S63" i="17"/>
  <c r="P63" i="17"/>
  <c r="Q63" i="17"/>
  <c r="N63" i="17"/>
  <c r="O63" i="17"/>
  <c r="L63" i="17"/>
  <c r="M63" i="17"/>
  <c r="J63" i="17"/>
  <c r="K63" i="17"/>
  <c r="H63" i="17"/>
  <c r="I63" i="17"/>
  <c r="F63" i="17"/>
  <c r="G63" i="17"/>
  <c r="D63" i="17"/>
  <c r="E63" i="17"/>
  <c r="T62" i="17"/>
  <c r="R62" i="17"/>
  <c r="S62" i="17"/>
  <c r="P62" i="17"/>
  <c r="Q62" i="17"/>
  <c r="N62" i="17"/>
  <c r="O62" i="17"/>
  <c r="L62" i="17"/>
  <c r="M62" i="17"/>
  <c r="J62" i="17"/>
  <c r="K62" i="17"/>
  <c r="H62" i="17"/>
  <c r="I62" i="17"/>
  <c r="F62" i="17"/>
  <c r="G62" i="17"/>
  <c r="D62" i="17"/>
  <c r="E62" i="17"/>
  <c r="C62" i="17"/>
  <c r="T61" i="17"/>
  <c r="R61" i="17"/>
  <c r="S61" i="17"/>
  <c r="P61" i="17"/>
  <c r="Q61" i="17"/>
  <c r="N61" i="17"/>
  <c r="O61" i="17"/>
  <c r="L61" i="17"/>
  <c r="M61" i="17"/>
  <c r="J61" i="17"/>
  <c r="K61" i="17"/>
  <c r="H61" i="17"/>
  <c r="I61" i="17"/>
  <c r="F61" i="17"/>
  <c r="D61" i="17"/>
  <c r="E61" i="17"/>
  <c r="C61" i="17"/>
  <c r="T60" i="17"/>
  <c r="R60" i="17"/>
  <c r="S60" i="17"/>
  <c r="P60" i="17"/>
  <c r="Q60" i="17"/>
  <c r="N60" i="17"/>
  <c r="O60" i="17"/>
  <c r="L60" i="17"/>
  <c r="M60" i="17"/>
  <c r="J60" i="17"/>
  <c r="K60" i="17"/>
  <c r="H60" i="17"/>
  <c r="I60" i="17"/>
  <c r="F60" i="17"/>
  <c r="G60" i="17"/>
  <c r="D60" i="17"/>
  <c r="E60" i="17"/>
  <c r="C60" i="17"/>
  <c r="T59" i="17"/>
  <c r="R59" i="17"/>
  <c r="S59" i="17"/>
  <c r="P59" i="17"/>
  <c r="Q59" i="17"/>
  <c r="N59" i="17"/>
  <c r="O59" i="17"/>
  <c r="L59" i="17"/>
  <c r="M59" i="17"/>
  <c r="J59" i="17"/>
  <c r="K59" i="17"/>
  <c r="H59" i="17"/>
  <c r="I59" i="17"/>
  <c r="F59" i="17"/>
  <c r="G59" i="17"/>
  <c r="D59" i="17"/>
  <c r="E59" i="17"/>
  <c r="T58" i="17"/>
  <c r="R58" i="17"/>
  <c r="S58" i="17"/>
  <c r="P58" i="17"/>
  <c r="Q58" i="17"/>
  <c r="N58" i="17"/>
  <c r="O58" i="17"/>
  <c r="L58" i="17"/>
  <c r="M58" i="17"/>
  <c r="J58" i="17"/>
  <c r="K58" i="17"/>
  <c r="H58" i="17"/>
  <c r="I58" i="17"/>
  <c r="F58" i="17"/>
  <c r="G58" i="17"/>
  <c r="D58" i="17"/>
  <c r="E58" i="17"/>
  <c r="C58" i="17"/>
  <c r="T57" i="17"/>
  <c r="R57" i="17"/>
  <c r="S57" i="17"/>
  <c r="P57" i="17"/>
  <c r="Q57" i="17"/>
  <c r="N57" i="17"/>
  <c r="O57" i="17"/>
  <c r="L57" i="17"/>
  <c r="M57" i="17"/>
  <c r="J57" i="17"/>
  <c r="K57" i="17"/>
  <c r="H57" i="17"/>
  <c r="I57" i="17"/>
  <c r="F57" i="17"/>
  <c r="G57" i="17"/>
  <c r="D57" i="17"/>
  <c r="E57" i="17"/>
  <c r="C57" i="17"/>
  <c r="T56" i="17"/>
  <c r="R56" i="17"/>
  <c r="S56" i="17"/>
  <c r="P56" i="17"/>
  <c r="Q56" i="17"/>
  <c r="N56" i="17"/>
  <c r="O56" i="17"/>
  <c r="L56" i="17"/>
  <c r="M56" i="17"/>
  <c r="J56" i="17"/>
  <c r="K56" i="17"/>
  <c r="H56" i="17"/>
  <c r="I56" i="17"/>
  <c r="F56" i="17"/>
  <c r="G56" i="17"/>
  <c r="D56" i="17"/>
  <c r="E56" i="17"/>
  <c r="C56" i="17"/>
  <c r="T55" i="17"/>
  <c r="R55" i="17"/>
  <c r="S55" i="17"/>
  <c r="P55" i="17"/>
  <c r="Q55" i="17"/>
  <c r="N55" i="17"/>
  <c r="O55" i="17"/>
  <c r="L55" i="17"/>
  <c r="M55" i="17"/>
  <c r="J55" i="17"/>
  <c r="K55" i="17"/>
  <c r="H55" i="17"/>
  <c r="I55" i="17"/>
  <c r="F55" i="17"/>
  <c r="G55" i="17"/>
  <c r="D55" i="17"/>
  <c r="E55" i="17"/>
  <c r="C55" i="17"/>
  <c r="T54" i="17"/>
  <c r="R54" i="17"/>
  <c r="S54" i="17"/>
  <c r="P54" i="17"/>
  <c r="Q54" i="17"/>
  <c r="N54" i="17"/>
  <c r="O54" i="17"/>
  <c r="L54" i="17"/>
  <c r="M54" i="17"/>
  <c r="J54" i="17"/>
  <c r="K54" i="17"/>
  <c r="H54" i="17"/>
  <c r="I54" i="17"/>
  <c r="F54" i="17"/>
  <c r="G54" i="17"/>
  <c r="D54" i="17"/>
  <c r="E54" i="17"/>
  <c r="T53" i="17"/>
  <c r="R53" i="17"/>
  <c r="S53" i="17"/>
  <c r="P53" i="17"/>
  <c r="Q53" i="17"/>
  <c r="N53" i="17"/>
  <c r="O53" i="17"/>
  <c r="L53" i="17"/>
  <c r="M53" i="17"/>
  <c r="J53" i="17"/>
  <c r="K53" i="17"/>
  <c r="H53" i="17"/>
  <c r="I53" i="17"/>
  <c r="F53" i="17"/>
  <c r="D53" i="17"/>
  <c r="E53" i="17"/>
  <c r="C53" i="17"/>
  <c r="T52" i="17"/>
  <c r="R52" i="17"/>
  <c r="S52" i="17"/>
  <c r="P52" i="17"/>
  <c r="Q52" i="17"/>
  <c r="N52" i="17"/>
  <c r="O52" i="17"/>
  <c r="L52" i="17"/>
  <c r="M52" i="17"/>
  <c r="J52" i="17"/>
  <c r="K52" i="17"/>
  <c r="H52" i="17"/>
  <c r="I52" i="17"/>
  <c r="F52" i="17"/>
  <c r="G52" i="17"/>
  <c r="D52" i="17"/>
  <c r="E52" i="17"/>
  <c r="C52" i="17"/>
  <c r="T51" i="17"/>
  <c r="R51" i="17"/>
  <c r="S51" i="17"/>
  <c r="P51" i="17"/>
  <c r="Q51" i="17"/>
  <c r="N51" i="17"/>
  <c r="O51" i="17"/>
  <c r="L51" i="17"/>
  <c r="M51" i="17"/>
  <c r="J51" i="17"/>
  <c r="K51" i="17"/>
  <c r="H51" i="17"/>
  <c r="I51" i="17"/>
  <c r="F51" i="17"/>
  <c r="G51" i="17"/>
  <c r="D51" i="17"/>
  <c r="C51" i="17"/>
  <c r="T50" i="17"/>
  <c r="R50" i="17"/>
  <c r="S50" i="17"/>
  <c r="P50" i="17"/>
  <c r="Q50" i="17"/>
  <c r="N50" i="17"/>
  <c r="O50" i="17"/>
  <c r="L50" i="17"/>
  <c r="M50" i="17"/>
  <c r="J50" i="17"/>
  <c r="K50" i="17"/>
  <c r="H50" i="17"/>
  <c r="I50" i="17"/>
  <c r="F50" i="17"/>
  <c r="G50" i="17"/>
  <c r="D50" i="17"/>
  <c r="E50" i="17"/>
  <c r="T49" i="17"/>
  <c r="R49" i="17"/>
  <c r="S49" i="17"/>
  <c r="P49" i="17"/>
  <c r="Q49" i="17"/>
  <c r="N49" i="17"/>
  <c r="O49" i="17"/>
  <c r="L49" i="17"/>
  <c r="M49" i="17"/>
  <c r="J49" i="17"/>
  <c r="K49" i="17"/>
  <c r="H49" i="17"/>
  <c r="I49" i="17"/>
  <c r="F49" i="17"/>
  <c r="G49" i="17"/>
  <c r="D49" i="17"/>
  <c r="E49" i="17"/>
  <c r="T48" i="17"/>
  <c r="R48" i="17"/>
  <c r="S48" i="17"/>
  <c r="P48" i="17"/>
  <c r="Q48" i="17"/>
  <c r="N48" i="17"/>
  <c r="O48" i="17"/>
  <c r="L48" i="17"/>
  <c r="M48" i="17"/>
  <c r="J48" i="17"/>
  <c r="K48" i="17"/>
  <c r="H48" i="17"/>
  <c r="I48" i="17"/>
  <c r="F48" i="17"/>
  <c r="G48" i="17"/>
  <c r="D48" i="17"/>
  <c r="E48" i="17"/>
  <c r="C48" i="17"/>
  <c r="T47" i="17"/>
  <c r="R47" i="17"/>
  <c r="S47" i="17"/>
  <c r="P47" i="17"/>
  <c r="Q47" i="17"/>
  <c r="N47" i="17"/>
  <c r="O47" i="17"/>
  <c r="L47" i="17"/>
  <c r="M47" i="17"/>
  <c r="J47" i="17"/>
  <c r="K47" i="17"/>
  <c r="H47" i="17"/>
  <c r="I47" i="17"/>
  <c r="F47" i="17"/>
  <c r="G47" i="17"/>
  <c r="D47" i="17"/>
  <c r="E47" i="17"/>
  <c r="C47" i="17"/>
  <c r="T46" i="17"/>
  <c r="R46" i="17"/>
  <c r="S46" i="17"/>
  <c r="P46" i="17"/>
  <c r="Q46" i="17"/>
  <c r="N46" i="17"/>
  <c r="O46" i="17"/>
  <c r="L46" i="17"/>
  <c r="M46" i="17"/>
  <c r="J46" i="17"/>
  <c r="K46" i="17"/>
  <c r="H46" i="17"/>
  <c r="I46" i="17"/>
  <c r="F46" i="17"/>
  <c r="G46" i="17"/>
  <c r="D46" i="17"/>
  <c r="E46" i="17"/>
  <c r="T45" i="17"/>
  <c r="R45" i="17"/>
  <c r="S45" i="17"/>
  <c r="P45" i="17"/>
  <c r="Q45" i="17"/>
  <c r="N45" i="17"/>
  <c r="O45" i="17"/>
  <c r="L45" i="17"/>
  <c r="M45" i="17"/>
  <c r="J45" i="17"/>
  <c r="K45" i="17"/>
  <c r="H45" i="17"/>
  <c r="I45" i="17"/>
  <c r="F45" i="17"/>
  <c r="G45" i="17"/>
  <c r="D45" i="17"/>
  <c r="E45" i="17"/>
  <c r="C45" i="17"/>
  <c r="T44" i="17"/>
  <c r="R44" i="17"/>
  <c r="S44" i="17"/>
  <c r="P44" i="17"/>
  <c r="Q44" i="17"/>
  <c r="N44" i="17"/>
  <c r="O44" i="17"/>
  <c r="L44" i="17"/>
  <c r="M44" i="17"/>
  <c r="J44" i="17"/>
  <c r="K44" i="17"/>
  <c r="H44" i="17"/>
  <c r="I44" i="17"/>
  <c r="F44" i="17"/>
  <c r="G44" i="17"/>
  <c r="D44" i="17"/>
  <c r="E44" i="17"/>
  <c r="S43" i="17"/>
  <c r="Q43" i="17"/>
  <c r="O43" i="17"/>
  <c r="M43" i="17"/>
  <c r="K43" i="17"/>
  <c r="I43" i="17"/>
  <c r="G43" i="17"/>
  <c r="E43" i="17"/>
  <c r="C43" i="17"/>
  <c r="T42" i="17"/>
  <c r="R42" i="17"/>
  <c r="S42" i="17"/>
  <c r="P42" i="17"/>
  <c r="Q42" i="17"/>
  <c r="N42" i="17"/>
  <c r="O42" i="17"/>
  <c r="L42" i="17"/>
  <c r="M42" i="17"/>
  <c r="J42" i="17"/>
  <c r="K42" i="17"/>
  <c r="H42" i="17"/>
  <c r="I42" i="17"/>
  <c r="F42" i="17"/>
  <c r="G42" i="17"/>
  <c r="D42" i="17"/>
  <c r="E42" i="17"/>
  <c r="C42" i="17"/>
  <c r="T41" i="17"/>
  <c r="R41" i="17"/>
  <c r="S41" i="17"/>
  <c r="P41" i="17"/>
  <c r="Q41" i="17"/>
  <c r="N41" i="17"/>
  <c r="O41" i="17"/>
  <c r="L41" i="17"/>
  <c r="M41" i="17"/>
  <c r="J41" i="17"/>
  <c r="K41" i="17"/>
  <c r="H41" i="17"/>
  <c r="I41" i="17"/>
  <c r="F41" i="17"/>
  <c r="G41" i="17"/>
  <c r="D41" i="17"/>
  <c r="E41" i="17"/>
  <c r="C41" i="17"/>
  <c r="T40" i="17"/>
  <c r="R40" i="17"/>
  <c r="S40" i="17"/>
  <c r="P40" i="17"/>
  <c r="Q40" i="17"/>
  <c r="N40" i="17"/>
  <c r="O40" i="17"/>
  <c r="L40" i="17"/>
  <c r="M40" i="17"/>
  <c r="J40" i="17"/>
  <c r="K40" i="17"/>
  <c r="H40" i="17"/>
  <c r="I40" i="17"/>
  <c r="F40" i="17"/>
  <c r="G40" i="17"/>
  <c r="D40" i="17"/>
  <c r="E40" i="17"/>
  <c r="C40" i="17"/>
  <c r="T39" i="17"/>
  <c r="R39" i="17"/>
  <c r="S39" i="17"/>
  <c r="P39" i="17"/>
  <c r="Q39" i="17"/>
  <c r="N39" i="17"/>
  <c r="O39" i="17"/>
  <c r="L39" i="17"/>
  <c r="M39" i="17"/>
  <c r="J39" i="17"/>
  <c r="K39" i="17"/>
  <c r="H39" i="17"/>
  <c r="I39" i="17"/>
  <c r="F39" i="17"/>
  <c r="G39" i="17"/>
  <c r="D39" i="17"/>
  <c r="E39" i="17"/>
  <c r="C39" i="17"/>
  <c r="T38" i="17"/>
  <c r="R38" i="17"/>
  <c r="S38" i="17"/>
  <c r="P38" i="17"/>
  <c r="Q38" i="17"/>
  <c r="N38" i="17"/>
  <c r="O38" i="17"/>
  <c r="L38" i="17"/>
  <c r="M38" i="17"/>
  <c r="J38" i="17"/>
  <c r="K38" i="17"/>
  <c r="H38" i="17"/>
  <c r="I38" i="17"/>
  <c r="F38" i="17"/>
  <c r="G38" i="17"/>
  <c r="D38" i="17"/>
  <c r="E38" i="17"/>
  <c r="T37" i="17"/>
  <c r="R37" i="17"/>
  <c r="S37" i="17"/>
  <c r="P37" i="17"/>
  <c r="Q37" i="17"/>
  <c r="N37" i="17"/>
  <c r="O37" i="17"/>
  <c r="L37" i="17"/>
  <c r="M37" i="17"/>
  <c r="J37" i="17"/>
  <c r="K37" i="17"/>
  <c r="H37" i="17"/>
  <c r="I37" i="17"/>
  <c r="F37" i="17"/>
  <c r="D37" i="17"/>
  <c r="E37" i="17"/>
  <c r="C37" i="17"/>
  <c r="T36" i="17"/>
  <c r="R36" i="17"/>
  <c r="S36" i="17"/>
  <c r="P36" i="17"/>
  <c r="Q36" i="17"/>
  <c r="N36" i="17"/>
  <c r="O36" i="17"/>
  <c r="L36" i="17"/>
  <c r="M36" i="17"/>
  <c r="J36" i="17"/>
  <c r="K36" i="17"/>
  <c r="H36" i="17"/>
  <c r="I36" i="17"/>
  <c r="F36" i="17"/>
  <c r="G36" i="17"/>
  <c r="D36" i="17"/>
  <c r="E36" i="17"/>
  <c r="C36" i="17"/>
  <c r="T35" i="17"/>
  <c r="R35" i="17"/>
  <c r="S35" i="17"/>
  <c r="P35" i="17"/>
  <c r="Q35" i="17"/>
  <c r="N35" i="17"/>
  <c r="O35" i="17"/>
  <c r="L35" i="17"/>
  <c r="M35" i="17"/>
  <c r="J35" i="17"/>
  <c r="K35" i="17"/>
  <c r="H35" i="17"/>
  <c r="I35" i="17"/>
  <c r="F35" i="17"/>
  <c r="G35" i="17"/>
  <c r="D35" i="17"/>
  <c r="C35" i="17"/>
  <c r="T34" i="17"/>
  <c r="R34" i="17"/>
  <c r="S34" i="17"/>
  <c r="P34" i="17"/>
  <c r="Q34" i="17"/>
  <c r="N34" i="17"/>
  <c r="O34" i="17"/>
  <c r="L34" i="17"/>
  <c r="M34" i="17"/>
  <c r="J34" i="17"/>
  <c r="K34" i="17"/>
  <c r="H34" i="17"/>
  <c r="I34" i="17"/>
  <c r="F34" i="17"/>
  <c r="G34" i="17"/>
  <c r="D34" i="17"/>
  <c r="E34" i="17"/>
  <c r="T33" i="17"/>
  <c r="R33" i="17"/>
  <c r="S33" i="17"/>
  <c r="P33" i="17"/>
  <c r="Q33" i="17"/>
  <c r="N33" i="17"/>
  <c r="O33" i="17"/>
  <c r="L33" i="17"/>
  <c r="M33" i="17"/>
  <c r="J33" i="17"/>
  <c r="K33" i="17"/>
  <c r="H33" i="17"/>
  <c r="I33" i="17"/>
  <c r="F33" i="17"/>
  <c r="G33" i="17"/>
  <c r="D33" i="17"/>
  <c r="E33" i="17"/>
  <c r="T32" i="17"/>
  <c r="R32" i="17"/>
  <c r="S32" i="17"/>
  <c r="P32" i="17"/>
  <c r="Q32" i="17"/>
  <c r="N32" i="17"/>
  <c r="O32" i="17"/>
  <c r="L32" i="17"/>
  <c r="M32" i="17"/>
  <c r="J32" i="17"/>
  <c r="K32" i="17"/>
  <c r="H32" i="17"/>
  <c r="I32" i="17"/>
  <c r="F32" i="17"/>
  <c r="G32" i="17"/>
  <c r="D32" i="17"/>
  <c r="E32" i="17"/>
  <c r="C32" i="17"/>
  <c r="T31" i="17"/>
  <c r="R31" i="17"/>
  <c r="S31" i="17"/>
  <c r="P31" i="17"/>
  <c r="Q31" i="17"/>
  <c r="N31" i="17"/>
  <c r="O31" i="17"/>
  <c r="L31" i="17"/>
  <c r="M31" i="17"/>
  <c r="J31" i="17"/>
  <c r="K31" i="17"/>
  <c r="H31" i="17"/>
  <c r="I31" i="17"/>
  <c r="F31" i="17"/>
  <c r="G31" i="17"/>
  <c r="D31" i="17"/>
  <c r="E31" i="17"/>
  <c r="C31" i="17"/>
  <c r="T30" i="17"/>
  <c r="R30" i="17"/>
  <c r="S30" i="17"/>
  <c r="P30" i="17"/>
  <c r="Q30" i="17"/>
  <c r="N30" i="17"/>
  <c r="O30" i="17"/>
  <c r="L30" i="17"/>
  <c r="M30" i="17"/>
  <c r="J30" i="17"/>
  <c r="K30" i="17"/>
  <c r="H30" i="17"/>
  <c r="I30" i="17"/>
  <c r="F30" i="17"/>
  <c r="G30" i="17"/>
  <c r="D30" i="17"/>
  <c r="E30" i="17"/>
  <c r="T29" i="17"/>
  <c r="R29" i="17"/>
  <c r="S29" i="17"/>
  <c r="P29" i="17"/>
  <c r="Q29" i="17"/>
  <c r="N29" i="17"/>
  <c r="O29" i="17"/>
  <c r="L29" i="17"/>
  <c r="M29" i="17"/>
  <c r="J29" i="17"/>
  <c r="K29" i="17"/>
  <c r="H29" i="17"/>
  <c r="I29" i="17"/>
  <c r="F29" i="17"/>
  <c r="G29" i="17"/>
  <c r="D29" i="17"/>
  <c r="E29" i="17"/>
  <c r="C29" i="17"/>
  <c r="T28" i="17"/>
  <c r="R28" i="17"/>
  <c r="S28" i="17"/>
  <c r="P28" i="17"/>
  <c r="Q28" i="17"/>
  <c r="N28" i="17"/>
  <c r="O28" i="17"/>
  <c r="L28" i="17"/>
  <c r="M28" i="17"/>
  <c r="J28" i="17"/>
  <c r="K28" i="17"/>
  <c r="H28" i="17"/>
  <c r="I28" i="17"/>
  <c r="F28" i="17"/>
  <c r="G28" i="17"/>
  <c r="D28" i="17"/>
  <c r="E28" i="17"/>
  <c r="T27" i="17"/>
  <c r="R27" i="17"/>
  <c r="S27" i="17"/>
  <c r="P27" i="17"/>
  <c r="Q27" i="17"/>
  <c r="N27" i="17"/>
  <c r="O27" i="17"/>
  <c r="L27" i="17"/>
  <c r="M27" i="17"/>
  <c r="J27" i="17"/>
  <c r="K27" i="17"/>
  <c r="H27" i="17"/>
  <c r="I27" i="17"/>
  <c r="F27" i="17"/>
  <c r="G27" i="17"/>
  <c r="D27" i="17"/>
  <c r="E27" i="17"/>
  <c r="C27" i="17"/>
  <c r="T26" i="17"/>
  <c r="R26" i="17"/>
  <c r="S26" i="17"/>
  <c r="P26" i="17"/>
  <c r="Q26" i="17"/>
  <c r="N26" i="17"/>
  <c r="O26" i="17"/>
  <c r="L26" i="17"/>
  <c r="M26" i="17"/>
  <c r="J26" i="17"/>
  <c r="K26" i="17"/>
  <c r="H26" i="17"/>
  <c r="I26" i="17"/>
  <c r="F26" i="17"/>
  <c r="G26" i="17"/>
  <c r="D26" i="17"/>
  <c r="E26" i="17"/>
  <c r="C26" i="17"/>
  <c r="T25" i="17"/>
  <c r="R25" i="17"/>
  <c r="S25" i="17"/>
  <c r="P25" i="17"/>
  <c r="Q25" i="17"/>
  <c r="N25" i="17"/>
  <c r="O25" i="17"/>
  <c r="L25" i="17"/>
  <c r="M25" i="17"/>
  <c r="J25" i="17"/>
  <c r="K25" i="17"/>
  <c r="H25" i="17"/>
  <c r="I25" i="17"/>
  <c r="F25" i="17"/>
  <c r="G25" i="17"/>
  <c r="D25" i="17"/>
  <c r="E25" i="17"/>
  <c r="C25" i="17"/>
  <c r="T24" i="17"/>
  <c r="R24" i="17"/>
  <c r="S24" i="17"/>
  <c r="P24" i="17"/>
  <c r="Q24" i="17"/>
  <c r="N24" i="17"/>
  <c r="O24" i="17"/>
  <c r="L24" i="17"/>
  <c r="M24" i="17"/>
  <c r="J24" i="17"/>
  <c r="K24" i="17"/>
  <c r="H24" i="17"/>
  <c r="I24" i="17"/>
  <c r="F24" i="17"/>
  <c r="G24" i="17"/>
  <c r="D24" i="17"/>
  <c r="E24" i="17"/>
  <c r="T23" i="17"/>
  <c r="R23" i="17"/>
  <c r="S23" i="17"/>
  <c r="P23" i="17"/>
  <c r="Q23" i="17"/>
  <c r="N23" i="17"/>
  <c r="O23" i="17"/>
  <c r="L23" i="17"/>
  <c r="M23" i="17"/>
  <c r="J23" i="17"/>
  <c r="K23" i="17"/>
  <c r="H23" i="17"/>
  <c r="I23" i="17"/>
  <c r="F23" i="17"/>
  <c r="G23" i="17"/>
  <c r="D23" i="17"/>
  <c r="E23" i="17"/>
  <c r="C23" i="17"/>
  <c r="T22" i="17"/>
  <c r="R22" i="17"/>
  <c r="S22" i="17"/>
  <c r="P22" i="17"/>
  <c r="Q22" i="17"/>
  <c r="N22" i="17"/>
  <c r="O22" i="17"/>
  <c r="L22" i="17"/>
  <c r="M22" i="17"/>
  <c r="J22" i="17"/>
  <c r="K22" i="17"/>
  <c r="H22" i="17"/>
  <c r="I22" i="17"/>
  <c r="F22" i="17"/>
  <c r="G22" i="17"/>
  <c r="D22" i="17"/>
  <c r="E22" i="17"/>
  <c r="T21" i="17"/>
  <c r="R21" i="17"/>
  <c r="S21" i="17"/>
  <c r="P21" i="17"/>
  <c r="Q21" i="17"/>
  <c r="N21" i="17"/>
  <c r="O21" i="17"/>
  <c r="L21" i="17"/>
  <c r="M21" i="17"/>
  <c r="J21" i="17"/>
  <c r="K21" i="17"/>
  <c r="H21" i="17"/>
  <c r="I21" i="17"/>
  <c r="F21" i="17"/>
  <c r="G21" i="17"/>
  <c r="D21" i="17"/>
  <c r="E21" i="17"/>
  <c r="T20" i="17"/>
  <c r="R20" i="17"/>
  <c r="S20" i="17"/>
  <c r="P20" i="17"/>
  <c r="Q20" i="17"/>
  <c r="N20" i="17"/>
  <c r="O20" i="17"/>
  <c r="L20" i="17"/>
  <c r="M20" i="17"/>
  <c r="J20" i="17"/>
  <c r="K20" i="17"/>
  <c r="H20" i="17"/>
  <c r="I20" i="17"/>
  <c r="F20" i="17"/>
  <c r="G20" i="17"/>
  <c r="D20" i="17"/>
  <c r="E20" i="17"/>
  <c r="C20" i="17"/>
  <c r="T19" i="17"/>
  <c r="R19" i="17"/>
  <c r="S19" i="17"/>
  <c r="P19" i="17"/>
  <c r="Q19" i="17"/>
  <c r="N19" i="17"/>
  <c r="O19" i="17"/>
  <c r="L19" i="17"/>
  <c r="M19" i="17"/>
  <c r="J19" i="17"/>
  <c r="K19" i="17"/>
  <c r="H19" i="17"/>
  <c r="I19" i="17"/>
  <c r="F19" i="17"/>
  <c r="G19" i="17"/>
  <c r="D19" i="17"/>
  <c r="E19" i="17"/>
  <c r="C19" i="17"/>
  <c r="T18" i="17"/>
  <c r="R18" i="17"/>
  <c r="S18" i="17"/>
  <c r="P18" i="17"/>
  <c r="Q18" i="17"/>
  <c r="N18" i="17"/>
  <c r="O18" i="17"/>
  <c r="L18" i="17"/>
  <c r="M18" i="17"/>
  <c r="J18" i="17"/>
  <c r="K18" i="17"/>
  <c r="H18" i="17"/>
  <c r="I18" i="17"/>
  <c r="F18" i="17"/>
  <c r="G18" i="17"/>
  <c r="D18" i="17"/>
  <c r="E18" i="17"/>
  <c r="C18" i="17"/>
  <c r="T17" i="17"/>
  <c r="R17" i="17"/>
  <c r="S17" i="17"/>
  <c r="P17" i="17"/>
  <c r="Q17" i="17"/>
  <c r="N17" i="17"/>
  <c r="O17" i="17"/>
  <c r="L17" i="17"/>
  <c r="M17" i="17"/>
  <c r="J17" i="17"/>
  <c r="K17" i="17"/>
  <c r="H17" i="17"/>
  <c r="I17" i="17"/>
  <c r="F17" i="17"/>
  <c r="G17" i="17"/>
  <c r="D17" i="17"/>
  <c r="E17" i="17"/>
  <c r="C17" i="17"/>
  <c r="T16" i="17"/>
  <c r="R16" i="17"/>
  <c r="S16" i="17"/>
  <c r="P16" i="17"/>
  <c r="Q16" i="17"/>
  <c r="N16" i="17"/>
  <c r="O16" i="17"/>
  <c r="L16" i="17"/>
  <c r="M16" i="17"/>
  <c r="J16" i="17"/>
  <c r="K16" i="17"/>
  <c r="H16" i="17"/>
  <c r="I16" i="17"/>
  <c r="F16" i="17"/>
  <c r="G16" i="17"/>
  <c r="D16" i="17"/>
  <c r="E16" i="17"/>
  <c r="C16" i="17"/>
  <c r="S15" i="17"/>
  <c r="Q15" i="17"/>
  <c r="O15" i="17"/>
  <c r="M15" i="17"/>
  <c r="K15" i="17"/>
  <c r="I15" i="17"/>
  <c r="G15" i="17"/>
  <c r="E15" i="17"/>
  <c r="C15" i="17"/>
  <c r="S14" i="17"/>
  <c r="Q14" i="17"/>
  <c r="O14" i="17"/>
  <c r="M14" i="17"/>
  <c r="K14" i="17"/>
  <c r="I14" i="17"/>
  <c r="G14" i="17"/>
  <c r="E14" i="17"/>
  <c r="C14" i="17"/>
  <c r="S13" i="17"/>
  <c r="Q13" i="17"/>
  <c r="O13" i="17"/>
  <c r="M13" i="17"/>
  <c r="K13" i="17"/>
  <c r="I13" i="17"/>
  <c r="G13" i="17"/>
  <c r="E13" i="17"/>
  <c r="C13" i="17"/>
  <c r="S12" i="17"/>
  <c r="Q12" i="17"/>
  <c r="O12" i="17"/>
  <c r="M12" i="17"/>
  <c r="K12" i="17"/>
  <c r="I12" i="17"/>
  <c r="G12" i="17"/>
  <c r="E12" i="17"/>
  <c r="C12" i="17"/>
  <c r="S11" i="17"/>
  <c r="Q11" i="17"/>
  <c r="O11" i="17"/>
  <c r="M11" i="17"/>
  <c r="K11" i="17"/>
  <c r="I11" i="17"/>
  <c r="G11" i="17"/>
  <c r="E11" i="17"/>
  <c r="C11" i="17"/>
  <c r="S10" i="17"/>
  <c r="Q10" i="17"/>
  <c r="O10" i="17"/>
  <c r="M10" i="17"/>
  <c r="K10" i="17"/>
  <c r="I10" i="17"/>
  <c r="G10" i="17"/>
  <c r="E10" i="17"/>
  <c r="C10" i="17"/>
  <c r="S9" i="17"/>
  <c r="Q9" i="17"/>
  <c r="O9" i="17"/>
  <c r="M9" i="17"/>
  <c r="K9" i="17"/>
  <c r="I9" i="17"/>
  <c r="G9" i="17"/>
  <c r="E9" i="17"/>
  <c r="S8" i="17"/>
  <c r="Q8" i="17"/>
  <c r="O8" i="17"/>
  <c r="M8" i="17"/>
  <c r="K8" i="17"/>
  <c r="I8" i="17"/>
  <c r="G8" i="17"/>
  <c r="E8" i="17"/>
  <c r="S7" i="17"/>
  <c r="Q7" i="17"/>
  <c r="O7" i="17"/>
  <c r="M7" i="17"/>
  <c r="K7" i="17"/>
  <c r="I7" i="17"/>
  <c r="G7" i="17"/>
  <c r="E7" i="17"/>
  <c r="C7" i="17"/>
  <c r="S6" i="17"/>
  <c r="Q6" i="17"/>
  <c r="O6" i="17"/>
  <c r="M6" i="17"/>
  <c r="K6" i="17"/>
  <c r="I6" i="17"/>
  <c r="G6" i="17"/>
  <c r="E6" i="17"/>
  <c r="S5" i="17"/>
  <c r="Q5" i="17"/>
  <c r="O5" i="17"/>
  <c r="M5" i="17"/>
  <c r="K5" i="17"/>
  <c r="I5" i="17"/>
  <c r="G5" i="17"/>
  <c r="E5" i="17"/>
  <c r="C5" i="17"/>
  <c r="S4" i="17"/>
  <c r="Q4" i="17"/>
  <c r="O4" i="17"/>
  <c r="M4" i="17"/>
  <c r="K4" i="17"/>
  <c r="I4" i="17"/>
  <c r="G4" i="17"/>
  <c r="E4" i="17"/>
  <c r="S3" i="17"/>
  <c r="Q3" i="17"/>
  <c r="O3" i="17"/>
  <c r="M3" i="17"/>
  <c r="K3" i="17"/>
  <c r="I3" i="17"/>
  <c r="G3" i="17"/>
  <c r="E3" i="17"/>
  <c r="C3" i="17"/>
  <c r="S2" i="17"/>
  <c r="Q2" i="17"/>
  <c r="O2" i="17"/>
  <c r="M2" i="17"/>
  <c r="K2" i="17"/>
  <c r="I2" i="17"/>
  <c r="G2" i="17"/>
  <c r="E2" i="17"/>
  <c r="C2" i="17"/>
  <c r="W88" i="17"/>
  <c r="W112" i="17"/>
  <c r="W132" i="17"/>
  <c r="C112" i="17"/>
  <c r="C132" i="17"/>
  <c r="W9" i="17"/>
  <c r="W4" i="17"/>
  <c r="W96" i="17"/>
  <c r="W83" i="17"/>
  <c r="C96" i="17"/>
  <c r="W104" i="17"/>
  <c r="W6" i="17"/>
  <c r="W82" i="17"/>
  <c r="C88" i="17"/>
  <c r="W68" i="17"/>
  <c r="C68" i="17"/>
  <c r="C4" i="17"/>
  <c r="W38" i="17"/>
  <c r="C38" i="17"/>
  <c r="W80" i="17"/>
  <c r="C80" i="17"/>
  <c r="W24" i="17"/>
  <c r="C24" i="17"/>
  <c r="W40" i="17"/>
  <c r="V40" i="17"/>
  <c r="W56" i="17"/>
  <c r="V56" i="17"/>
  <c r="W65" i="17"/>
  <c r="W30" i="17"/>
  <c r="C30" i="17"/>
  <c r="W46" i="17"/>
  <c r="C46" i="17"/>
  <c r="W54" i="17"/>
  <c r="C54" i="17"/>
  <c r="W8" i="17"/>
  <c r="C8" i="17"/>
  <c r="W20" i="17"/>
  <c r="V20" i="17"/>
  <c r="W22" i="17"/>
  <c r="W28" i="17"/>
  <c r="C28" i="17"/>
  <c r="W44" i="17"/>
  <c r="C44" i="17"/>
  <c r="W90" i="17"/>
  <c r="C90" i="17"/>
  <c r="W76" i="17"/>
  <c r="W94" i="17"/>
  <c r="W124" i="17"/>
  <c r="V124" i="17"/>
  <c r="W12" i="17"/>
  <c r="V12" i="17"/>
  <c r="W35" i="17"/>
  <c r="W51" i="17"/>
  <c r="W72" i="17"/>
  <c r="V72" i="17"/>
  <c r="C76" i="17"/>
  <c r="W79" i="17"/>
  <c r="C82" i="17"/>
  <c r="W84" i="17"/>
  <c r="C84" i="17"/>
  <c r="C94" i="17"/>
  <c r="C104" i="17"/>
  <c r="W106" i="17"/>
  <c r="C106" i="17"/>
  <c r="C125" i="17"/>
  <c r="W125" i="17"/>
  <c r="W131" i="17"/>
  <c r="C131" i="17"/>
  <c r="W16" i="17"/>
  <c r="V16" i="17"/>
  <c r="W21" i="17"/>
  <c r="W33" i="17"/>
  <c r="W34" i="17"/>
  <c r="W37" i="17"/>
  <c r="W49" i="17"/>
  <c r="W50" i="17"/>
  <c r="W53" i="17"/>
  <c r="W61" i="17"/>
  <c r="W75" i="17"/>
  <c r="W98" i="17"/>
  <c r="C98" i="17"/>
  <c r="W116" i="17"/>
  <c r="V116" i="17"/>
  <c r="W134" i="17"/>
  <c r="C134" i="17"/>
  <c r="W78" i="17"/>
  <c r="V78" i="17"/>
  <c r="W86" i="17"/>
  <c r="V86" i="17"/>
  <c r="W92" i="17"/>
  <c r="V92" i="17"/>
  <c r="W100" i="17"/>
  <c r="V100" i="17"/>
  <c r="W108" i="17"/>
  <c r="V108" i="17"/>
  <c r="W130" i="17"/>
  <c r="V130" i="17"/>
  <c r="W136" i="17"/>
  <c r="W102" i="17"/>
  <c r="V102" i="17"/>
  <c r="W114" i="17"/>
  <c r="V114" i="17"/>
  <c r="W120" i="17"/>
  <c r="C136" i="17"/>
  <c r="W138" i="17"/>
  <c r="V138" i="17"/>
  <c r="W5" i="17"/>
  <c r="V5" i="17"/>
  <c r="W17" i="17"/>
  <c r="V17" i="17"/>
  <c r="W26" i="17"/>
  <c r="V26" i="17"/>
  <c r="W29" i="17"/>
  <c r="V29" i="17"/>
  <c r="W42" i="17"/>
  <c r="V42" i="17"/>
  <c r="W43" i="17"/>
  <c r="V43" i="17"/>
  <c r="W45" i="17"/>
  <c r="V45" i="17"/>
  <c r="W73" i="17"/>
  <c r="V73" i="17"/>
  <c r="W97" i="17"/>
  <c r="V97" i="17"/>
  <c r="W101" i="17"/>
  <c r="V101" i="17"/>
  <c r="W2" i="17"/>
  <c r="V2" i="17"/>
  <c r="C9" i="17"/>
  <c r="W14" i="17"/>
  <c r="V14" i="17"/>
  <c r="W3" i="17"/>
  <c r="V3" i="17"/>
  <c r="C6" i="17"/>
  <c r="W7" i="17"/>
  <c r="V7" i="17"/>
  <c r="W11" i="17"/>
  <c r="V11" i="17"/>
  <c r="W15" i="17"/>
  <c r="V15" i="17"/>
  <c r="W19" i="17"/>
  <c r="V19" i="17"/>
  <c r="C22" i="17"/>
  <c r="W23" i="17"/>
  <c r="V23" i="17"/>
  <c r="W32" i="17"/>
  <c r="V32" i="17"/>
  <c r="W25" i="17"/>
  <c r="V25" i="17"/>
  <c r="C33" i="17"/>
  <c r="C34" i="17"/>
  <c r="W36" i="17"/>
  <c r="V36" i="17"/>
  <c r="G37" i="17"/>
  <c r="W39" i="17"/>
  <c r="V39" i="17"/>
  <c r="W41" i="17"/>
  <c r="V41" i="17"/>
  <c r="C49" i="17"/>
  <c r="C50" i="17"/>
  <c r="W52" i="17"/>
  <c r="V52" i="17"/>
  <c r="G53" i="17"/>
  <c r="W55" i="17"/>
  <c r="V55" i="17"/>
  <c r="W57" i="17"/>
  <c r="V57" i="17"/>
  <c r="G61" i="17"/>
  <c r="W63" i="17"/>
  <c r="W13" i="17"/>
  <c r="V13" i="17"/>
  <c r="W27" i="17"/>
  <c r="V27" i="17"/>
  <c r="W58" i="17"/>
  <c r="V58" i="17"/>
  <c r="W60" i="17"/>
  <c r="W66" i="17"/>
  <c r="V66" i="17"/>
  <c r="W93" i="17"/>
  <c r="V93" i="17"/>
  <c r="W10" i="17"/>
  <c r="V10" i="17"/>
  <c r="W18" i="17"/>
  <c r="V18" i="17"/>
  <c r="C21" i="17"/>
  <c r="W31" i="17"/>
  <c r="V31" i="17"/>
  <c r="E35" i="17"/>
  <c r="W47" i="17"/>
  <c r="V47" i="17"/>
  <c r="E51" i="17"/>
  <c r="W59" i="17"/>
  <c r="C59" i="17"/>
  <c r="V60" i="17"/>
  <c r="G65" i="17"/>
  <c r="W67" i="17"/>
  <c r="W69" i="17"/>
  <c r="V69" i="17"/>
  <c r="W71" i="17"/>
  <c r="W77" i="17"/>
  <c r="V77" i="17"/>
  <c r="W81" i="17"/>
  <c r="V81" i="17"/>
  <c r="W85" i="17"/>
  <c r="V85" i="17"/>
  <c r="W87" i="17"/>
  <c r="V87" i="17"/>
  <c r="W89" i="17"/>
  <c r="V89" i="17"/>
  <c r="W48" i="17"/>
  <c r="V48" i="17"/>
  <c r="W62" i="17"/>
  <c r="V62" i="17"/>
  <c r="W64" i="17"/>
  <c r="V64" i="17"/>
  <c r="C63" i="17"/>
  <c r="C67" i="17"/>
  <c r="C71" i="17"/>
  <c r="C75" i="17"/>
  <c r="C79" i="17"/>
  <c r="C83" i="17"/>
  <c r="W111" i="17"/>
  <c r="W115" i="17"/>
  <c r="C115" i="17"/>
  <c r="C129" i="17"/>
  <c r="W129" i="17"/>
  <c r="W105" i="17"/>
  <c r="V105" i="17"/>
  <c r="C113" i="17"/>
  <c r="W113" i="17"/>
  <c r="W133" i="17"/>
  <c r="V133" i="17"/>
  <c r="W137" i="17"/>
  <c r="V137" i="17"/>
  <c r="W70" i="17"/>
  <c r="V70" i="17"/>
  <c r="W74" i="17"/>
  <c r="V74" i="17"/>
  <c r="W91" i="17"/>
  <c r="C91" i="17"/>
  <c r="W95" i="17"/>
  <c r="W99" i="17"/>
  <c r="W103" i="17"/>
  <c r="W107" i="17"/>
  <c r="C128" i="17"/>
  <c r="W128" i="17"/>
  <c r="W109" i="17"/>
  <c r="C109" i="17"/>
  <c r="C95" i="17"/>
  <c r="C99" i="17"/>
  <c r="C103" i="17"/>
  <c r="C107" i="17"/>
  <c r="W110" i="17"/>
  <c r="V110" i="17"/>
  <c r="G111" i="17"/>
  <c r="W118" i="17"/>
  <c r="V118" i="17"/>
  <c r="W119" i="17"/>
  <c r="V119" i="17"/>
  <c r="C120" i="17"/>
  <c r="W121" i="17"/>
  <c r="V121" i="17"/>
  <c r="W126" i="17"/>
  <c r="V126" i="17"/>
  <c r="W127" i="17"/>
  <c r="V127" i="17"/>
  <c r="W135" i="17"/>
  <c r="W139" i="17"/>
  <c r="W117" i="17"/>
  <c r="V117" i="17"/>
  <c r="W122" i="17"/>
  <c r="V122" i="17"/>
  <c r="W123" i="17"/>
  <c r="V123" i="17"/>
  <c r="C135" i="17"/>
  <c r="C139" i="17"/>
  <c r="V83" i="17"/>
  <c r="V9" i="17"/>
  <c r="V82" i="17"/>
  <c r="V132" i="17"/>
  <c r="V98" i="17"/>
  <c r="V28" i="17"/>
  <c r="V8" i="17"/>
  <c r="V46" i="17"/>
  <c r="V88" i="17"/>
  <c r="V37" i="17"/>
  <c r="V96" i="17"/>
  <c r="V76" i="17"/>
  <c r="V44" i="17"/>
  <c r="V53" i="17"/>
  <c r="V134" i="17"/>
  <c r="V84" i="17"/>
  <c r="V90" i="17"/>
  <c r="V112" i="17"/>
  <c r="V65" i="17"/>
  <c r="V51" i="17"/>
  <c r="V21" i="17"/>
  <c r="V94" i="17"/>
  <c r="V67" i="17"/>
  <c r="V6" i="17"/>
  <c r="V38" i="17"/>
  <c r="V68" i="17"/>
  <c r="V135" i="17"/>
  <c r="V103" i="17"/>
  <c r="V49" i="17"/>
  <c r="V61" i="17"/>
  <c r="V91" i="17"/>
  <c r="V131" i="17"/>
  <c r="V106" i="17"/>
  <c r="V54" i="17"/>
  <c r="V22" i="17"/>
  <c r="V80" i="17"/>
  <c r="V99" i="17"/>
  <c r="V115" i="17"/>
  <c r="V136" i="17"/>
  <c r="V125" i="17"/>
  <c r="V104" i="17"/>
  <c r="V24" i="17"/>
  <c r="V71" i="17"/>
  <c r="V30" i="17"/>
  <c r="V4" i="17"/>
  <c r="V111" i="17"/>
  <c r="V34" i="17"/>
  <c r="V120" i="17"/>
  <c r="V95" i="17"/>
  <c r="V79" i="17"/>
  <c r="V63" i="17"/>
  <c r="V35" i="17"/>
  <c r="V33" i="17"/>
  <c r="V107" i="17"/>
  <c r="V109" i="17"/>
  <c r="V75" i="17"/>
  <c r="V50" i="17"/>
  <c r="V139" i="17"/>
  <c r="V113" i="17"/>
  <c r="V129" i="17"/>
  <c r="V59" i="17"/>
  <c r="V128" i="17"/>
  <c r="F500" i="4"/>
  <c r="F473" i="4"/>
  <c r="F428" i="4"/>
  <c r="F406" i="4"/>
  <c r="F319" i="4"/>
  <c r="F286" i="4"/>
  <c r="F287" i="4"/>
  <c r="F288" i="4"/>
  <c r="F248" i="4"/>
  <c r="F181" i="4"/>
  <c r="F166" i="4"/>
  <c r="F129" i="4"/>
  <c r="F104" i="4"/>
  <c r="F78" i="4"/>
  <c r="F62" i="4"/>
  <c r="F63" i="4"/>
  <c r="F64" i="4"/>
  <c r="T141" i="16"/>
  <c r="R141" i="16"/>
  <c r="P141" i="16"/>
  <c r="N141" i="16"/>
  <c r="L141" i="16"/>
  <c r="J141" i="16"/>
  <c r="H141" i="16"/>
  <c r="F141" i="16"/>
  <c r="D141" i="16"/>
  <c r="B141" i="16"/>
  <c r="T140" i="16"/>
  <c r="R140" i="16"/>
  <c r="P140" i="16"/>
  <c r="N140" i="16"/>
  <c r="L140" i="16"/>
  <c r="J140" i="16"/>
  <c r="H140" i="16"/>
  <c r="F140" i="16"/>
  <c r="D140" i="16"/>
  <c r="B140" i="16"/>
  <c r="T139" i="16"/>
  <c r="R139" i="16"/>
  <c r="P139" i="16"/>
  <c r="N139" i="16"/>
  <c r="L139" i="16"/>
  <c r="J139" i="16"/>
  <c r="H139" i="16"/>
  <c r="F139" i="16"/>
  <c r="D139" i="16"/>
  <c r="B139" i="16"/>
  <c r="T138" i="16"/>
  <c r="R138" i="16"/>
  <c r="P138" i="16"/>
  <c r="N138" i="16"/>
  <c r="L138" i="16"/>
  <c r="J138" i="16"/>
  <c r="H138" i="16"/>
  <c r="F138" i="16"/>
  <c r="D138" i="16"/>
  <c r="B138" i="16"/>
  <c r="T137" i="16"/>
  <c r="R137" i="16"/>
  <c r="P137" i="16"/>
  <c r="N137" i="16"/>
  <c r="L137" i="16"/>
  <c r="J137" i="16"/>
  <c r="H137" i="16"/>
  <c r="F137" i="16"/>
  <c r="D137" i="16"/>
  <c r="B137" i="16"/>
  <c r="T136" i="16"/>
  <c r="R136" i="16"/>
  <c r="P136" i="16"/>
  <c r="N136" i="16"/>
  <c r="L136" i="16"/>
  <c r="J136" i="16"/>
  <c r="H136" i="16"/>
  <c r="F136" i="16"/>
  <c r="D136" i="16"/>
  <c r="B136" i="16"/>
  <c r="T135" i="16"/>
  <c r="R135" i="16"/>
  <c r="P135" i="16"/>
  <c r="N135" i="16"/>
  <c r="L135" i="16"/>
  <c r="J135" i="16"/>
  <c r="H135" i="16"/>
  <c r="F135" i="16"/>
  <c r="D135" i="16"/>
  <c r="B135" i="16"/>
  <c r="T134" i="16"/>
  <c r="R134" i="16"/>
  <c r="P134" i="16"/>
  <c r="N134" i="16"/>
  <c r="L134" i="16"/>
  <c r="J134" i="16"/>
  <c r="H134" i="16"/>
  <c r="F134" i="16"/>
  <c r="D134" i="16"/>
  <c r="B134" i="16"/>
  <c r="T133" i="16"/>
  <c r="R133" i="16"/>
  <c r="P133" i="16"/>
  <c r="N133" i="16"/>
  <c r="L133" i="16"/>
  <c r="J133" i="16"/>
  <c r="H133" i="16"/>
  <c r="F133" i="16"/>
  <c r="D133" i="16"/>
  <c r="B133" i="16"/>
  <c r="T132" i="16"/>
  <c r="R132" i="16"/>
  <c r="P132" i="16"/>
  <c r="N132" i="16"/>
  <c r="L132" i="16"/>
  <c r="J132" i="16"/>
  <c r="H132" i="16"/>
  <c r="F132" i="16"/>
  <c r="D132" i="16"/>
  <c r="B132" i="16"/>
  <c r="T131" i="16"/>
  <c r="R131" i="16"/>
  <c r="P131" i="16"/>
  <c r="N131" i="16"/>
  <c r="L131" i="16"/>
  <c r="J131" i="16"/>
  <c r="H131" i="16"/>
  <c r="F131" i="16"/>
  <c r="D131" i="16"/>
  <c r="B131" i="16"/>
  <c r="T130" i="16"/>
  <c r="R130" i="16"/>
  <c r="P130" i="16"/>
  <c r="N130" i="16"/>
  <c r="L130" i="16"/>
  <c r="J130" i="16"/>
  <c r="H130" i="16"/>
  <c r="F130" i="16"/>
  <c r="D130" i="16"/>
  <c r="B130" i="16"/>
  <c r="T129" i="16"/>
  <c r="R129" i="16"/>
  <c r="P129" i="16"/>
  <c r="N129" i="16"/>
  <c r="L129" i="16"/>
  <c r="J129" i="16"/>
  <c r="H129" i="16"/>
  <c r="F129" i="16"/>
  <c r="D129" i="16"/>
  <c r="B129" i="16"/>
  <c r="T128" i="16"/>
  <c r="R128" i="16"/>
  <c r="P128" i="16"/>
  <c r="N128" i="16"/>
  <c r="L128" i="16"/>
  <c r="J128" i="16"/>
  <c r="H128" i="16"/>
  <c r="F128" i="16"/>
  <c r="D128" i="16"/>
  <c r="B128" i="16"/>
  <c r="T127" i="16"/>
  <c r="R127" i="16"/>
  <c r="P127" i="16"/>
  <c r="N127" i="16"/>
  <c r="L127" i="16"/>
  <c r="J127" i="16"/>
  <c r="H127" i="16"/>
  <c r="F127" i="16"/>
  <c r="D127" i="16"/>
  <c r="B127" i="16"/>
  <c r="T126" i="16"/>
  <c r="R126" i="16"/>
  <c r="P126" i="16"/>
  <c r="N126" i="16"/>
  <c r="L126" i="16"/>
  <c r="J126" i="16"/>
  <c r="H126" i="16"/>
  <c r="F126" i="16"/>
  <c r="D126" i="16"/>
  <c r="B126" i="16"/>
  <c r="T125" i="16"/>
  <c r="R125" i="16"/>
  <c r="P125" i="16"/>
  <c r="N125" i="16"/>
  <c r="L125" i="16"/>
  <c r="J125" i="16"/>
  <c r="H125" i="16"/>
  <c r="F125" i="16"/>
  <c r="D125" i="16"/>
  <c r="B125" i="16"/>
  <c r="T124" i="16"/>
  <c r="R124" i="16"/>
  <c r="P124" i="16"/>
  <c r="N124" i="16"/>
  <c r="L124" i="16"/>
  <c r="J124" i="16"/>
  <c r="H124" i="16"/>
  <c r="F124" i="16"/>
  <c r="D124" i="16"/>
  <c r="B124" i="16"/>
  <c r="T123" i="16"/>
  <c r="R123" i="16"/>
  <c r="P123" i="16"/>
  <c r="N123" i="16"/>
  <c r="L123" i="16"/>
  <c r="J123" i="16"/>
  <c r="H123" i="16"/>
  <c r="F123" i="16"/>
  <c r="D123" i="16"/>
  <c r="B123" i="16"/>
  <c r="T122" i="16"/>
  <c r="R122" i="16"/>
  <c r="P122" i="16"/>
  <c r="N122" i="16"/>
  <c r="L122" i="16"/>
  <c r="J122" i="16"/>
  <c r="H122" i="16"/>
  <c r="F122" i="16"/>
  <c r="D122" i="16"/>
  <c r="B122" i="16"/>
  <c r="T121" i="16"/>
  <c r="R121" i="16"/>
  <c r="P121" i="16"/>
  <c r="N121" i="16"/>
  <c r="L121" i="16"/>
  <c r="J121" i="16"/>
  <c r="H121" i="16"/>
  <c r="F121" i="16"/>
  <c r="D121" i="16"/>
  <c r="B121" i="16"/>
  <c r="T120" i="16"/>
  <c r="R120" i="16"/>
  <c r="P120" i="16"/>
  <c r="N120" i="16"/>
  <c r="L120" i="16"/>
  <c r="J120" i="16"/>
  <c r="H120" i="16"/>
  <c r="F120" i="16"/>
  <c r="D120" i="16"/>
  <c r="B120" i="16"/>
  <c r="T119" i="16"/>
  <c r="R119" i="16"/>
  <c r="P119" i="16"/>
  <c r="N119" i="16"/>
  <c r="L119" i="16"/>
  <c r="J119" i="16"/>
  <c r="H119" i="16"/>
  <c r="F119" i="16"/>
  <c r="D119" i="16"/>
  <c r="B119" i="16"/>
  <c r="T118" i="16"/>
  <c r="R118" i="16"/>
  <c r="P118" i="16"/>
  <c r="N118" i="16"/>
  <c r="L118" i="16"/>
  <c r="J118" i="16"/>
  <c r="H118" i="16"/>
  <c r="F118" i="16"/>
  <c r="D118" i="16"/>
  <c r="B118" i="16"/>
  <c r="T117" i="16"/>
  <c r="R117" i="16"/>
  <c r="P117" i="16"/>
  <c r="N117" i="16"/>
  <c r="L117" i="16"/>
  <c r="J117" i="16"/>
  <c r="H117" i="16"/>
  <c r="F117" i="16"/>
  <c r="D117" i="16"/>
  <c r="B117" i="16"/>
  <c r="T116" i="16"/>
  <c r="R116" i="16"/>
  <c r="P116" i="16"/>
  <c r="N116" i="16"/>
  <c r="L116" i="16"/>
  <c r="J116" i="16"/>
  <c r="H116" i="16"/>
  <c r="F116" i="16"/>
  <c r="D116" i="16"/>
  <c r="B116" i="16"/>
  <c r="T115" i="16"/>
  <c r="R115" i="16"/>
  <c r="P115" i="16"/>
  <c r="N115" i="16"/>
  <c r="L115" i="16"/>
  <c r="J115" i="16"/>
  <c r="H115" i="16"/>
  <c r="F115" i="16"/>
  <c r="D115" i="16"/>
  <c r="B115" i="16"/>
  <c r="T114" i="16"/>
  <c r="R114" i="16"/>
  <c r="P114" i="16"/>
  <c r="N114" i="16"/>
  <c r="L114" i="16"/>
  <c r="J114" i="16"/>
  <c r="H114" i="16"/>
  <c r="F114" i="16"/>
  <c r="D114" i="16"/>
  <c r="B114" i="16"/>
  <c r="T113" i="16"/>
  <c r="R113" i="16"/>
  <c r="P113" i="16"/>
  <c r="N113" i="16"/>
  <c r="L113" i="16"/>
  <c r="J113" i="16"/>
  <c r="H113" i="16"/>
  <c r="F113" i="16"/>
  <c r="D113" i="16"/>
  <c r="B113" i="16"/>
  <c r="T112" i="16"/>
  <c r="R112" i="16"/>
  <c r="P112" i="16"/>
  <c r="N112" i="16"/>
  <c r="L112" i="16"/>
  <c r="J112" i="16"/>
  <c r="H112" i="16"/>
  <c r="F112" i="16"/>
  <c r="D112" i="16"/>
  <c r="B112" i="16"/>
  <c r="T111" i="16"/>
  <c r="R111" i="16"/>
  <c r="P111" i="16"/>
  <c r="N111" i="16"/>
  <c r="L111" i="16"/>
  <c r="J111" i="16"/>
  <c r="H111" i="16"/>
  <c r="F111" i="16"/>
  <c r="D111" i="16"/>
  <c r="B111" i="16"/>
  <c r="T110" i="16"/>
  <c r="R110" i="16"/>
  <c r="P110" i="16"/>
  <c r="N110" i="16"/>
  <c r="L110" i="16"/>
  <c r="J110" i="16"/>
  <c r="H110" i="16"/>
  <c r="F110" i="16"/>
  <c r="D110" i="16"/>
  <c r="B110" i="16"/>
  <c r="T109" i="16"/>
  <c r="R109" i="16"/>
  <c r="P109" i="16"/>
  <c r="N109" i="16"/>
  <c r="L109" i="16"/>
  <c r="J109" i="16"/>
  <c r="H109" i="16"/>
  <c r="F109" i="16"/>
  <c r="D109" i="16"/>
  <c r="B109" i="16"/>
  <c r="T108" i="16"/>
  <c r="R108" i="16"/>
  <c r="P108" i="16"/>
  <c r="N108" i="16"/>
  <c r="L108" i="16"/>
  <c r="J108" i="16"/>
  <c r="H108" i="16"/>
  <c r="F108" i="16"/>
  <c r="D108" i="16"/>
  <c r="B108" i="16"/>
  <c r="T107" i="16"/>
  <c r="R107" i="16"/>
  <c r="P107" i="16"/>
  <c r="N107" i="16"/>
  <c r="L107" i="16"/>
  <c r="J107" i="16"/>
  <c r="H107" i="16"/>
  <c r="F107" i="16"/>
  <c r="D107" i="16"/>
  <c r="B107" i="16"/>
  <c r="T106" i="16"/>
  <c r="R106" i="16"/>
  <c r="P106" i="16"/>
  <c r="N106" i="16"/>
  <c r="L106" i="16"/>
  <c r="J106" i="16"/>
  <c r="H106" i="16"/>
  <c r="F106" i="16"/>
  <c r="D106" i="16"/>
  <c r="B106" i="16"/>
  <c r="T104" i="16"/>
  <c r="R104" i="16"/>
  <c r="P104" i="16"/>
  <c r="N104" i="16"/>
  <c r="L104" i="16"/>
  <c r="J104" i="16"/>
  <c r="H104" i="16"/>
  <c r="F104" i="16"/>
  <c r="D104" i="16"/>
  <c r="B104" i="16"/>
  <c r="T103" i="16"/>
  <c r="R103" i="16"/>
  <c r="P103" i="16"/>
  <c r="N103" i="16"/>
  <c r="L103" i="16"/>
  <c r="J103" i="16"/>
  <c r="H103" i="16"/>
  <c r="F103" i="16"/>
  <c r="D103" i="16"/>
  <c r="B103" i="16"/>
  <c r="T102" i="16"/>
  <c r="R102" i="16"/>
  <c r="P102" i="16"/>
  <c r="N102" i="16"/>
  <c r="L102" i="16"/>
  <c r="J102" i="16"/>
  <c r="H102" i="16"/>
  <c r="F102" i="16"/>
  <c r="D102" i="16"/>
  <c r="B102" i="16"/>
  <c r="T101" i="16"/>
  <c r="R101" i="16"/>
  <c r="P101" i="16"/>
  <c r="N101" i="16"/>
  <c r="L101" i="16"/>
  <c r="J101" i="16"/>
  <c r="H101" i="16"/>
  <c r="F101" i="16"/>
  <c r="D101" i="16"/>
  <c r="B101" i="16"/>
  <c r="T100" i="16"/>
  <c r="R100" i="16"/>
  <c r="P100" i="16"/>
  <c r="N100" i="16"/>
  <c r="L100" i="16"/>
  <c r="J100" i="16"/>
  <c r="H100" i="16"/>
  <c r="F100" i="16"/>
  <c r="D100" i="16"/>
  <c r="B100" i="16"/>
  <c r="T99" i="16"/>
  <c r="R99" i="16"/>
  <c r="P99" i="16"/>
  <c r="N99" i="16"/>
  <c r="L99" i="16"/>
  <c r="J99" i="16"/>
  <c r="H99" i="16"/>
  <c r="F99" i="16"/>
  <c r="D99" i="16"/>
  <c r="B99" i="16"/>
  <c r="T98" i="16"/>
  <c r="R98" i="16"/>
  <c r="P98" i="16"/>
  <c r="N98" i="16"/>
  <c r="L98" i="16"/>
  <c r="J98" i="16"/>
  <c r="H98" i="16"/>
  <c r="F98" i="16"/>
  <c r="D98" i="16"/>
  <c r="B98" i="16"/>
  <c r="T97" i="16"/>
  <c r="R97" i="16"/>
  <c r="P97" i="16"/>
  <c r="N97" i="16"/>
  <c r="L97" i="16"/>
  <c r="J97" i="16"/>
  <c r="H97" i="16"/>
  <c r="F97" i="16"/>
  <c r="D97" i="16"/>
  <c r="B97" i="16"/>
  <c r="T96" i="16"/>
  <c r="R96" i="16"/>
  <c r="P96" i="16"/>
  <c r="N96" i="16"/>
  <c r="L96" i="16"/>
  <c r="J96" i="16"/>
  <c r="H96" i="16"/>
  <c r="F96" i="16"/>
  <c r="D96" i="16"/>
  <c r="B96" i="16"/>
  <c r="T95" i="16"/>
  <c r="R95" i="16"/>
  <c r="P95" i="16"/>
  <c r="N95" i="16"/>
  <c r="L95" i="16"/>
  <c r="J95" i="16"/>
  <c r="H95" i="16"/>
  <c r="F95" i="16"/>
  <c r="D95" i="16"/>
  <c r="B95" i="16"/>
  <c r="T94" i="16"/>
  <c r="R94" i="16"/>
  <c r="P94" i="16"/>
  <c r="N94" i="16"/>
  <c r="L94" i="16"/>
  <c r="J94" i="16"/>
  <c r="H94" i="16"/>
  <c r="F94" i="16"/>
  <c r="D94" i="16"/>
  <c r="B94" i="16"/>
  <c r="T93" i="16"/>
  <c r="R93" i="16"/>
  <c r="P93" i="16"/>
  <c r="N93" i="16"/>
  <c r="L93" i="16"/>
  <c r="J93" i="16"/>
  <c r="H93" i="16"/>
  <c r="F93" i="16"/>
  <c r="D93" i="16"/>
  <c r="B93" i="16"/>
  <c r="T92" i="16"/>
  <c r="R92" i="16"/>
  <c r="P92" i="16"/>
  <c r="N92" i="16"/>
  <c r="L92" i="16"/>
  <c r="J92" i="16"/>
  <c r="H92" i="16"/>
  <c r="F92" i="16"/>
  <c r="D92" i="16"/>
  <c r="B92" i="16"/>
  <c r="T91" i="16"/>
  <c r="R91" i="16"/>
  <c r="P91" i="16"/>
  <c r="N91" i="16"/>
  <c r="L91" i="16"/>
  <c r="J91" i="16"/>
  <c r="H91" i="16"/>
  <c r="F91" i="16"/>
  <c r="D91" i="16"/>
  <c r="B91" i="16"/>
  <c r="T90" i="16"/>
  <c r="R90" i="16"/>
  <c r="P90" i="16"/>
  <c r="N90" i="16"/>
  <c r="L90" i="16"/>
  <c r="J90" i="16"/>
  <c r="H90" i="16"/>
  <c r="F90" i="16"/>
  <c r="D90" i="16"/>
  <c r="B90" i="16"/>
  <c r="T89" i="16"/>
  <c r="R89" i="16"/>
  <c r="P89" i="16"/>
  <c r="N89" i="16"/>
  <c r="L89" i="16"/>
  <c r="J89" i="16"/>
  <c r="H89" i="16"/>
  <c r="F89" i="16"/>
  <c r="D89" i="16"/>
  <c r="B89" i="16"/>
  <c r="T88" i="16"/>
  <c r="R88" i="16"/>
  <c r="P88" i="16"/>
  <c r="N88" i="16"/>
  <c r="L88" i="16"/>
  <c r="J88" i="16"/>
  <c r="H88" i="16"/>
  <c r="F88" i="16"/>
  <c r="D88" i="16"/>
  <c r="B88" i="16"/>
  <c r="T87" i="16"/>
  <c r="R87" i="16"/>
  <c r="P87" i="16"/>
  <c r="N87" i="16"/>
  <c r="L87" i="16"/>
  <c r="J87" i="16"/>
  <c r="H87" i="16"/>
  <c r="F87" i="16"/>
  <c r="D87" i="16"/>
  <c r="B87" i="16"/>
  <c r="T86" i="16"/>
  <c r="R86" i="16"/>
  <c r="P86" i="16"/>
  <c r="N86" i="16"/>
  <c r="L86" i="16"/>
  <c r="J86" i="16"/>
  <c r="H86" i="16"/>
  <c r="F86" i="16"/>
  <c r="D86" i="16"/>
  <c r="B86" i="16"/>
  <c r="T85" i="16"/>
  <c r="R85" i="16"/>
  <c r="P85" i="16"/>
  <c r="N85" i="16"/>
  <c r="L85" i="16"/>
  <c r="J85" i="16"/>
  <c r="H85" i="16"/>
  <c r="F85" i="16"/>
  <c r="D85" i="16"/>
  <c r="B85" i="16"/>
  <c r="T84" i="16"/>
  <c r="R84" i="16"/>
  <c r="P84" i="16"/>
  <c r="N84" i="16"/>
  <c r="L84" i="16"/>
  <c r="J84" i="16"/>
  <c r="H84" i="16"/>
  <c r="F84" i="16"/>
  <c r="D84" i="16"/>
  <c r="B84" i="16"/>
  <c r="T83" i="16"/>
  <c r="R83" i="16"/>
  <c r="P83" i="16"/>
  <c r="N83" i="16"/>
  <c r="L83" i="16"/>
  <c r="J83" i="16"/>
  <c r="H83" i="16"/>
  <c r="F83" i="16"/>
  <c r="D83" i="16"/>
  <c r="B83" i="16"/>
  <c r="T82" i="16"/>
  <c r="R82" i="16"/>
  <c r="P82" i="16"/>
  <c r="N82" i="16"/>
  <c r="L82" i="16"/>
  <c r="J82" i="16"/>
  <c r="H82" i="16"/>
  <c r="F82" i="16"/>
  <c r="D82" i="16"/>
  <c r="B82" i="16"/>
  <c r="T81" i="16"/>
  <c r="R81" i="16"/>
  <c r="P81" i="16"/>
  <c r="N81" i="16"/>
  <c r="L81" i="16"/>
  <c r="J81" i="16"/>
  <c r="H81" i="16"/>
  <c r="F81" i="16"/>
  <c r="D81" i="16"/>
  <c r="B81" i="16"/>
  <c r="T80" i="16"/>
  <c r="R80" i="16"/>
  <c r="P80" i="16"/>
  <c r="N80" i="16"/>
  <c r="L80" i="16"/>
  <c r="J80" i="16"/>
  <c r="H80" i="16"/>
  <c r="F80" i="16"/>
  <c r="D80" i="16"/>
  <c r="B80" i="16"/>
  <c r="T79" i="16"/>
  <c r="R79" i="16"/>
  <c r="P79" i="16"/>
  <c r="N79" i="16"/>
  <c r="L79" i="16"/>
  <c r="J79" i="16"/>
  <c r="H79" i="16"/>
  <c r="F79" i="16"/>
  <c r="D79" i="16"/>
  <c r="B79" i="16"/>
  <c r="T78" i="16"/>
  <c r="R78" i="16"/>
  <c r="P78" i="16"/>
  <c r="N78" i="16"/>
  <c r="L78" i="16"/>
  <c r="J78" i="16"/>
  <c r="H78" i="16"/>
  <c r="F78" i="16"/>
  <c r="D78" i="16"/>
  <c r="B78" i="16"/>
  <c r="T77" i="16"/>
  <c r="R77" i="16"/>
  <c r="P77" i="16"/>
  <c r="N77" i="16"/>
  <c r="L77" i="16"/>
  <c r="J77" i="16"/>
  <c r="H77" i="16"/>
  <c r="F77" i="16"/>
  <c r="D77" i="16"/>
  <c r="B77" i="16"/>
  <c r="T76" i="16"/>
  <c r="R76" i="16"/>
  <c r="P76" i="16"/>
  <c r="N76" i="16"/>
  <c r="L76" i="16"/>
  <c r="J76" i="16"/>
  <c r="H76" i="16"/>
  <c r="F76" i="16"/>
  <c r="D76" i="16"/>
  <c r="B76" i="16"/>
  <c r="T75" i="16"/>
  <c r="R75" i="16"/>
  <c r="P75" i="16"/>
  <c r="N75" i="16"/>
  <c r="L75" i="16"/>
  <c r="J75" i="16"/>
  <c r="H75" i="16"/>
  <c r="F75" i="16"/>
  <c r="D75" i="16"/>
  <c r="B75" i="16"/>
  <c r="T74" i="16"/>
  <c r="R74" i="16"/>
  <c r="P74" i="16"/>
  <c r="N74" i="16"/>
  <c r="L74" i="16"/>
  <c r="J74" i="16"/>
  <c r="H74" i="16"/>
  <c r="F74" i="16"/>
  <c r="D74" i="16"/>
  <c r="B74" i="16"/>
  <c r="T73" i="16"/>
  <c r="R73" i="16"/>
  <c r="P73" i="16"/>
  <c r="N73" i="16"/>
  <c r="L73" i="16"/>
  <c r="J73" i="16"/>
  <c r="H73" i="16"/>
  <c r="F73" i="16"/>
  <c r="D73" i="16"/>
  <c r="B73" i="16"/>
  <c r="T72" i="16"/>
  <c r="R72" i="16"/>
  <c r="P72" i="16"/>
  <c r="N72" i="16"/>
  <c r="L72" i="16"/>
  <c r="J72" i="16"/>
  <c r="H72" i="16"/>
  <c r="F72" i="16"/>
  <c r="D72" i="16"/>
  <c r="B72" i="16"/>
  <c r="T71" i="16"/>
  <c r="R71" i="16"/>
  <c r="P71" i="16"/>
  <c r="N71" i="16"/>
  <c r="L71" i="16"/>
  <c r="J71" i="16"/>
  <c r="H71" i="16"/>
  <c r="F71" i="16"/>
  <c r="D71" i="16"/>
  <c r="B71" i="16"/>
  <c r="T70" i="16"/>
  <c r="R70" i="16"/>
  <c r="P70" i="16"/>
  <c r="N70" i="16"/>
  <c r="L70" i="16"/>
  <c r="J70" i="16"/>
  <c r="H70" i="16"/>
  <c r="F70" i="16"/>
  <c r="D70" i="16"/>
  <c r="B70" i="16"/>
  <c r="T69" i="16"/>
  <c r="R69" i="16"/>
  <c r="P69" i="16"/>
  <c r="N69" i="16"/>
  <c r="L69" i="16"/>
  <c r="J69" i="16"/>
  <c r="H69" i="16"/>
  <c r="F69" i="16"/>
  <c r="D69" i="16"/>
  <c r="B69" i="16"/>
  <c r="T68" i="16"/>
  <c r="R68" i="16"/>
  <c r="P68" i="16"/>
  <c r="N68" i="16"/>
  <c r="L68" i="16"/>
  <c r="J68" i="16"/>
  <c r="H68" i="16"/>
  <c r="F68" i="16"/>
  <c r="D68" i="16"/>
  <c r="B68" i="16"/>
  <c r="T67" i="16"/>
  <c r="R67" i="16"/>
  <c r="P67" i="16"/>
  <c r="N67" i="16"/>
  <c r="L67" i="16"/>
  <c r="J67" i="16"/>
  <c r="H67" i="16"/>
  <c r="F67" i="16"/>
  <c r="D67" i="16"/>
  <c r="B67" i="16"/>
  <c r="T66" i="16"/>
  <c r="R66" i="16"/>
  <c r="P66" i="16"/>
  <c r="N66" i="16"/>
  <c r="L66" i="16"/>
  <c r="J66" i="16"/>
  <c r="H66" i="16"/>
  <c r="F66" i="16"/>
  <c r="D66" i="16"/>
  <c r="B66" i="16"/>
  <c r="T65" i="16"/>
  <c r="R65" i="16"/>
  <c r="P65" i="16"/>
  <c r="N65" i="16"/>
  <c r="L65" i="16"/>
  <c r="J65" i="16"/>
  <c r="H65" i="16"/>
  <c r="F65" i="16"/>
  <c r="D65" i="16"/>
  <c r="B65" i="16"/>
  <c r="T64" i="16"/>
  <c r="R64" i="16"/>
  <c r="P64" i="16"/>
  <c r="N64" i="16"/>
  <c r="L64" i="16"/>
  <c r="J64" i="16"/>
  <c r="H64" i="16"/>
  <c r="F64" i="16"/>
  <c r="D64" i="16"/>
  <c r="B64" i="16"/>
  <c r="T63" i="16"/>
  <c r="R63" i="16"/>
  <c r="P63" i="16"/>
  <c r="N63" i="16"/>
  <c r="L63" i="16"/>
  <c r="J63" i="16"/>
  <c r="H63" i="16"/>
  <c r="F63" i="16"/>
  <c r="D63" i="16"/>
  <c r="B63" i="16"/>
  <c r="T62" i="16"/>
  <c r="R62" i="16"/>
  <c r="P62" i="16"/>
  <c r="N62" i="16"/>
  <c r="L62" i="16"/>
  <c r="J62" i="16"/>
  <c r="H62" i="16"/>
  <c r="F62" i="16"/>
  <c r="D62" i="16"/>
  <c r="B62" i="16"/>
  <c r="T61" i="16"/>
  <c r="R61" i="16"/>
  <c r="P61" i="16"/>
  <c r="N61" i="16"/>
  <c r="L61" i="16"/>
  <c r="J61" i="16"/>
  <c r="H61" i="16"/>
  <c r="F61" i="16"/>
  <c r="D61" i="16"/>
  <c r="B61" i="16"/>
  <c r="T60" i="16"/>
  <c r="R60" i="16"/>
  <c r="P60" i="16"/>
  <c r="N60" i="16"/>
  <c r="L60" i="16"/>
  <c r="J60" i="16"/>
  <c r="H60" i="16"/>
  <c r="F60" i="16"/>
  <c r="D60" i="16"/>
  <c r="B60" i="16"/>
  <c r="T59" i="16"/>
  <c r="R59" i="16"/>
  <c r="P59" i="16"/>
  <c r="N59" i="16"/>
  <c r="L59" i="16"/>
  <c r="J59" i="16"/>
  <c r="H59" i="16"/>
  <c r="F59" i="16"/>
  <c r="D59" i="16"/>
  <c r="B59" i="16"/>
  <c r="T58" i="16"/>
  <c r="R58" i="16"/>
  <c r="P58" i="16"/>
  <c r="N58" i="16"/>
  <c r="L58" i="16"/>
  <c r="J58" i="16"/>
  <c r="H58" i="16"/>
  <c r="F58" i="16"/>
  <c r="D58" i="16"/>
  <c r="B58" i="16"/>
  <c r="T57" i="16"/>
  <c r="R57" i="16"/>
  <c r="P57" i="16"/>
  <c r="N57" i="16"/>
  <c r="L57" i="16"/>
  <c r="J57" i="16"/>
  <c r="H57" i="16"/>
  <c r="F57" i="16"/>
  <c r="D57" i="16"/>
  <c r="B57" i="16"/>
  <c r="T56" i="16"/>
  <c r="R56" i="16"/>
  <c r="P56" i="16"/>
  <c r="N56" i="16"/>
  <c r="L56" i="16"/>
  <c r="J56" i="16"/>
  <c r="H56" i="16"/>
  <c r="F56" i="16"/>
  <c r="D56" i="16"/>
  <c r="B56" i="16"/>
  <c r="T55" i="16"/>
  <c r="R55" i="16"/>
  <c r="P55" i="16"/>
  <c r="N55" i="16"/>
  <c r="L55" i="16"/>
  <c r="J55" i="16"/>
  <c r="H55" i="16"/>
  <c r="F55" i="16"/>
  <c r="D55" i="16"/>
  <c r="B55" i="16"/>
  <c r="T54" i="16"/>
  <c r="R54" i="16"/>
  <c r="P54" i="16"/>
  <c r="N54" i="16"/>
  <c r="L54" i="16"/>
  <c r="J54" i="16"/>
  <c r="H54" i="16"/>
  <c r="F54" i="16"/>
  <c r="D54" i="16"/>
  <c r="B54" i="16"/>
  <c r="T53" i="16"/>
  <c r="R53" i="16"/>
  <c r="P53" i="16"/>
  <c r="N53" i="16"/>
  <c r="L53" i="16"/>
  <c r="J53" i="16"/>
  <c r="H53" i="16"/>
  <c r="F53" i="16"/>
  <c r="D53" i="16"/>
  <c r="B53" i="16"/>
  <c r="T52" i="16"/>
  <c r="R52" i="16"/>
  <c r="P52" i="16"/>
  <c r="N52" i="16"/>
  <c r="L52" i="16"/>
  <c r="J52" i="16"/>
  <c r="H52" i="16"/>
  <c r="F52" i="16"/>
  <c r="D52" i="16"/>
  <c r="B52" i="16"/>
  <c r="T51" i="16"/>
  <c r="R51" i="16"/>
  <c r="P51" i="16"/>
  <c r="N51" i="16"/>
  <c r="L51" i="16"/>
  <c r="J51" i="16"/>
  <c r="H51" i="16"/>
  <c r="F51" i="16"/>
  <c r="D51" i="16"/>
  <c r="B51" i="16"/>
  <c r="T50" i="16"/>
  <c r="R50" i="16"/>
  <c r="P50" i="16"/>
  <c r="N50" i="16"/>
  <c r="L50" i="16"/>
  <c r="J50" i="16"/>
  <c r="H50" i="16"/>
  <c r="F50" i="16"/>
  <c r="D50" i="16"/>
  <c r="B50" i="16"/>
  <c r="T49" i="16"/>
  <c r="R49" i="16"/>
  <c r="P49" i="16"/>
  <c r="N49" i="16"/>
  <c r="L49" i="16"/>
  <c r="J49" i="16"/>
  <c r="H49" i="16"/>
  <c r="F49" i="16"/>
  <c r="D49" i="16"/>
  <c r="B49" i="16"/>
  <c r="T48" i="16"/>
  <c r="R48" i="16"/>
  <c r="P48" i="16"/>
  <c r="N48" i="16"/>
  <c r="L48" i="16"/>
  <c r="J48" i="16"/>
  <c r="H48" i="16"/>
  <c r="F48" i="16"/>
  <c r="D48" i="16"/>
  <c r="B48" i="16"/>
  <c r="T47" i="16"/>
  <c r="R47" i="16"/>
  <c r="P47" i="16"/>
  <c r="N47" i="16"/>
  <c r="L47" i="16"/>
  <c r="J47" i="16"/>
  <c r="H47" i="16"/>
  <c r="F47" i="16"/>
  <c r="D47" i="16"/>
  <c r="B47" i="16"/>
  <c r="T46" i="16"/>
  <c r="R46" i="16"/>
  <c r="P46" i="16"/>
  <c r="N46" i="16"/>
  <c r="L46" i="16"/>
  <c r="J46" i="16"/>
  <c r="H46" i="16"/>
  <c r="F46" i="16"/>
  <c r="D46" i="16"/>
  <c r="B46" i="16"/>
  <c r="T45" i="16"/>
  <c r="R45" i="16"/>
  <c r="P45" i="16"/>
  <c r="N45" i="16"/>
  <c r="L45" i="16"/>
  <c r="J45" i="16"/>
  <c r="H45" i="16"/>
  <c r="F45" i="16"/>
  <c r="D45" i="16"/>
  <c r="B45" i="16"/>
  <c r="T44" i="16"/>
  <c r="R44" i="16"/>
  <c r="P44" i="16"/>
  <c r="N44" i="16"/>
  <c r="L44" i="16"/>
  <c r="J44" i="16"/>
  <c r="H44" i="16"/>
  <c r="F44" i="16"/>
  <c r="D44" i="16"/>
  <c r="B44" i="16"/>
  <c r="T43" i="16"/>
  <c r="R43" i="16"/>
  <c r="P43" i="16"/>
  <c r="N43" i="16"/>
  <c r="L43" i="16"/>
  <c r="J43" i="16"/>
  <c r="H43" i="16"/>
  <c r="F43" i="16"/>
  <c r="D43" i="16"/>
  <c r="B43" i="16"/>
  <c r="T42" i="16"/>
  <c r="R42" i="16"/>
  <c r="P42" i="16"/>
  <c r="N42" i="16"/>
  <c r="L42" i="16"/>
  <c r="J42" i="16"/>
  <c r="H42" i="16"/>
  <c r="F42" i="16"/>
  <c r="D42" i="16"/>
  <c r="B42" i="16"/>
  <c r="T41" i="16"/>
  <c r="R41" i="16"/>
  <c r="P41" i="16"/>
  <c r="N41" i="16"/>
  <c r="L41" i="16"/>
  <c r="J41" i="16"/>
  <c r="H41" i="16"/>
  <c r="F41" i="16"/>
  <c r="D41" i="16"/>
  <c r="B41" i="16"/>
  <c r="T40" i="16"/>
  <c r="R40" i="16"/>
  <c r="P40" i="16"/>
  <c r="N40" i="16"/>
  <c r="L40" i="16"/>
  <c r="J40" i="16"/>
  <c r="H40" i="16"/>
  <c r="F40" i="16"/>
  <c r="D40" i="16"/>
  <c r="B40" i="16"/>
  <c r="T39" i="16"/>
  <c r="R39" i="16"/>
  <c r="P39" i="16"/>
  <c r="N39" i="16"/>
  <c r="L39" i="16"/>
  <c r="J39" i="16"/>
  <c r="H39" i="16"/>
  <c r="F39" i="16"/>
  <c r="D39" i="16"/>
  <c r="B39" i="16"/>
  <c r="T38" i="16"/>
  <c r="R38" i="16"/>
  <c r="P38" i="16"/>
  <c r="N38" i="16"/>
  <c r="L38" i="16"/>
  <c r="J38" i="16"/>
  <c r="H38" i="16"/>
  <c r="F38" i="16"/>
  <c r="D38" i="16"/>
  <c r="B38" i="16"/>
  <c r="T37" i="16"/>
  <c r="R37" i="16"/>
  <c r="P37" i="16"/>
  <c r="N37" i="16"/>
  <c r="L37" i="16"/>
  <c r="J37" i="16"/>
  <c r="H37" i="16"/>
  <c r="F37" i="16"/>
  <c r="D37" i="16"/>
  <c r="B37" i="16"/>
  <c r="T36" i="16"/>
  <c r="R36" i="16"/>
  <c r="P36" i="16"/>
  <c r="N36" i="16"/>
  <c r="L36" i="16"/>
  <c r="J36" i="16"/>
  <c r="H36" i="16"/>
  <c r="F36" i="16"/>
  <c r="D36" i="16"/>
  <c r="B36" i="16"/>
  <c r="T35" i="16"/>
  <c r="R35" i="16"/>
  <c r="P35" i="16"/>
  <c r="N35" i="16"/>
  <c r="L35" i="16"/>
  <c r="J35" i="16"/>
  <c r="H35" i="16"/>
  <c r="F35" i="16"/>
  <c r="D35" i="16"/>
  <c r="B35" i="16"/>
  <c r="T34" i="16"/>
  <c r="R34" i="16"/>
  <c r="P34" i="16"/>
  <c r="N34" i="16"/>
  <c r="L34" i="16"/>
  <c r="J34" i="16"/>
  <c r="H34" i="16"/>
  <c r="F34" i="16"/>
  <c r="D34" i="16"/>
  <c r="B34" i="16"/>
  <c r="T33" i="16"/>
  <c r="R33" i="16"/>
  <c r="P33" i="16"/>
  <c r="N33" i="16"/>
  <c r="L33" i="16"/>
  <c r="J33" i="16"/>
  <c r="H33" i="16"/>
  <c r="F33" i="16"/>
  <c r="D33" i="16"/>
  <c r="B33" i="16"/>
  <c r="T32" i="16"/>
  <c r="R32" i="16"/>
  <c r="P32" i="16"/>
  <c r="N32" i="16"/>
  <c r="L32" i="16"/>
  <c r="J32" i="16"/>
  <c r="H32" i="16"/>
  <c r="F32" i="16"/>
  <c r="D32" i="16"/>
  <c r="B32" i="16"/>
  <c r="T31" i="16"/>
  <c r="R31" i="16"/>
  <c r="P31" i="16"/>
  <c r="N31" i="16"/>
  <c r="L31" i="16"/>
  <c r="J31" i="16"/>
  <c r="H31" i="16"/>
  <c r="F31" i="16"/>
  <c r="D31" i="16"/>
  <c r="B31" i="16"/>
  <c r="T30" i="16"/>
  <c r="R30" i="16"/>
  <c r="P30" i="16"/>
  <c r="N30" i="16"/>
  <c r="L30" i="16"/>
  <c r="J30" i="16"/>
  <c r="H30" i="16"/>
  <c r="F30" i="16"/>
  <c r="D30" i="16"/>
  <c r="B30" i="16"/>
  <c r="T29" i="16"/>
  <c r="R29" i="16"/>
  <c r="P29" i="16"/>
  <c r="N29" i="16"/>
  <c r="L29" i="16"/>
  <c r="J29" i="16"/>
  <c r="H29" i="16"/>
  <c r="F29" i="16"/>
  <c r="D29" i="16"/>
  <c r="B29" i="16"/>
  <c r="T28" i="16"/>
  <c r="R28" i="16"/>
  <c r="P28" i="16"/>
  <c r="N28" i="16"/>
  <c r="L28" i="16"/>
  <c r="J28" i="16"/>
  <c r="H28" i="16"/>
  <c r="F28" i="16"/>
  <c r="D28" i="16"/>
  <c r="B28" i="16"/>
  <c r="T27" i="16"/>
  <c r="R27" i="16"/>
  <c r="P27" i="16"/>
  <c r="N27" i="16"/>
  <c r="L27" i="16"/>
  <c r="J27" i="16"/>
  <c r="H27" i="16"/>
  <c r="F27" i="16"/>
  <c r="D27" i="16"/>
  <c r="B27" i="16"/>
  <c r="T26" i="16"/>
  <c r="R26" i="16"/>
  <c r="P26" i="16"/>
  <c r="N26" i="16"/>
  <c r="L26" i="16"/>
  <c r="J26" i="16"/>
  <c r="H26" i="16"/>
  <c r="F26" i="16"/>
  <c r="D26" i="16"/>
  <c r="B26" i="16"/>
  <c r="T25" i="16"/>
  <c r="R25" i="16"/>
  <c r="P25" i="16"/>
  <c r="N25" i="16"/>
  <c r="L25" i="16"/>
  <c r="J25" i="16"/>
  <c r="H25" i="16"/>
  <c r="F25" i="16"/>
  <c r="D25" i="16"/>
  <c r="B25" i="16"/>
  <c r="T24" i="16"/>
  <c r="R24" i="16"/>
  <c r="P24" i="16"/>
  <c r="N24" i="16"/>
  <c r="L24" i="16"/>
  <c r="J24" i="16"/>
  <c r="H24" i="16"/>
  <c r="F24" i="16"/>
  <c r="D24" i="16"/>
  <c r="B24" i="16"/>
  <c r="T23" i="16"/>
  <c r="R23" i="16"/>
  <c r="P23" i="16"/>
  <c r="N23" i="16"/>
  <c r="L23" i="16"/>
  <c r="J23" i="16"/>
  <c r="H23" i="16"/>
  <c r="F23" i="16"/>
  <c r="D23" i="16"/>
  <c r="B23" i="16"/>
  <c r="T22" i="16"/>
  <c r="R22" i="16"/>
  <c r="P22" i="16"/>
  <c r="N22" i="16"/>
  <c r="L22" i="16"/>
  <c r="J22" i="16"/>
  <c r="H22" i="16"/>
  <c r="F22" i="16"/>
  <c r="D22" i="16"/>
  <c r="B22" i="16"/>
  <c r="T21" i="16"/>
  <c r="R21" i="16"/>
  <c r="P21" i="16"/>
  <c r="N21" i="16"/>
  <c r="L21" i="16"/>
  <c r="J21" i="16"/>
  <c r="H21" i="16"/>
  <c r="F21" i="16"/>
  <c r="D21" i="16"/>
  <c r="B21" i="16"/>
  <c r="T20" i="16"/>
  <c r="R20" i="16"/>
  <c r="P20" i="16"/>
  <c r="N20" i="16"/>
  <c r="L20" i="16"/>
  <c r="J20" i="16"/>
  <c r="H20" i="16"/>
  <c r="F20" i="16"/>
  <c r="D20" i="16"/>
  <c r="B20" i="16"/>
  <c r="T19" i="16"/>
  <c r="R19" i="16"/>
  <c r="P19" i="16"/>
  <c r="N19" i="16"/>
  <c r="L19" i="16"/>
  <c r="J19" i="16"/>
  <c r="H19" i="16"/>
  <c r="F19" i="16"/>
  <c r="D19" i="16"/>
  <c r="B19" i="16"/>
  <c r="T18" i="16"/>
  <c r="R18" i="16"/>
  <c r="P18" i="16"/>
  <c r="N18" i="16"/>
  <c r="L18" i="16"/>
  <c r="J18" i="16"/>
  <c r="H18" i="16"/>
  <c r="F18" i="16"/>
  <c r="D18" i="16"/>
  <c r="B18" i="16"/>
  <c r="T16" i="16"/>
  <c r="R16" i="16"/>
  <c r="P16" i="16"/>
  <c r="N16" i="16"/>
  <c r="L16" i="16"/>
  <c r="J16" i="16"/>
  <c r="H16" i="16"/>
  <c r="F16" i="16"/>
  <c r="D16" i="16"/>
  <c r="B16" i="16"/>
  <c r="T15" i="16"/>
  <c r="R15" i="16"/>
  <c r="P15" i="16"/>
  <c r="N15" i="16"/>
  <c r="L15" i="16"/>
  <c r="J15" i="16"/>
  <c r="H15" i="16"/>
  <c r="F15" i="16"/>
  <c r="D15" i="16"/>
  <c r="B15" i="16"/>
  <c r="T14" i="16"/>
  <c r="R14" i="16"/>
  <c r="P14" i="16"/>
  <c r="N14" i="16"/>
  <c r="L14" i="16"/>
  <c r="J14" i="16"/>
  <c r="H14" i="16"/>
  <c r="F14" i="16"/>
  <c r="D14" i="16"/>
  <c r="B14" i="16"/>
  <c r="T13" i="16"/>
  <c r="R13" i="16"/>
  <c r="P13" i="16"/>
  <c r="N13" i="16"/>
  <c r="L13" i="16"/>
  <c r="J13" i="16"/>
  <c r="H13" i="16"/>
  <c r="F13" i="16"/>
  <c r="D13" i="16"/>
  <c r="B13" i="16"/>
  <c r="T12" i="16"/>
  <c r="R12" i="16"/>
  <c r="P12" i="16"/>
  <c r="N12" i="16"/>
  <c r="L12" i="16"/>
  <c r="J12" i="16"/>
  <c r="H12" i="16"/>
  <c r="F12" i="16"/>
  <c r="D12" i="16"/>
  <c r="B12" i="16"/>
  <c r="T11" i="16"/>
  <c r="R11" i="16"/>
  <c r="P11" i="16"/>
  <c r="N11" i="16"/>
  <c r="L11" i="16"/>
  <c r="J11" i="16"/>
  <c r="H11" i="16"/>
  <c r="F11" i="16"/>
  <c r="D11" i="16"/>
  <c r="B11" i="16"/>
  <c r="T10" i="16"/>
  <c r="R10" i="16"/>
  <c r="P10" i="16"/>
  <c r="N10" i="16"/>
  <c r="L10" i="16"/>
  <c r="J10" i="16"/>
  <c r="H10" i="16"/>
  <c r="F10" i="16"/>
  <c r="D10" i="16"/>
  <c r="B10" i="16"/>
  <c r="T9" i="16"/>
  <c r="R9" i="16"/>
  <c r="P9" i="16"/>
  <c r="N9" i="16"/>
  <c r="L9" i="16"/>
  <c r="J9" i="16"/>
  <c r="H9" i="16"/>
  <c r="F9" i="16"/>
  <c r="D9" i="16"/>
  <c r="B9" i="16"/>
  <c r="T8" i="16"/>
  <c r="R8" i="16"/>
  <c r="P8" i="16"/>
  <c r="N8" i="16"/>
  <c r="L8" i="16"/>
  <c r="J8" i="16"/>
  <c r="H8" i="16"/>
  <c r="F8" i="16"/>
  <c r="D8" i="16"/>
  <c r="B8" i="16"/>
  <c r="T7" i="16"/>
  <c r="R7" i="16"/>
  <c r="P7" i="16"/>
  <c r="N7" i="16"/>
  <c r="L7" i="16"/>
  <c r="J7" i="16"/>
  <c r="H7" i="16"/>
  <c r="F7" i="16"/>
  <c r="D7" i="16"/>
  <c r="B7" i="16"/>
  <c r="T6" i="16"/>
  <c r="R6" i="16"/>
  <c r="P6" i="16"/>
  <c r="N6" i="16"/>
  <c r="L6" i="16"/>
  <c r="J6" i="16"/>
  <c r="H6" i="16"/>
  <c r="F6" i="16"/>
  <c r="D6" i="16"/>
  <c r="B6" i="16"/>
  <c r="T5" i="16"/>
  <c r="R5" i="16"/>
  <c r="P5" i="16"/>
  <c r="N5" i="16"/>
  <c r="L5" i="16"/>
  <c r="J5" i="16"/>
  <c r="H5" i="16"/>
  <c r="F5" i="16"/>
  <c r="D5" i="16"/>
  <c r="B5" i="16"/>
  <c r="T4" i="16"/>
  <c r="R4" i="16"/>
  <c r="P4" i="16"/>
  <c r="N4" i="16"/>
  <c r="L4" i="16"/>
  <c r="J4" i="16"/>
  <c r="H4" i="16"/>
  <c r="F4" i="16"/>
  <c r="D4" i="16"/>
  <c r="B4" i="16"/>
  <c r="T3" i="16"/>
  <c r="R3" i="16"/>
  <c r="P3" i="16"/>
  <c r="N3" i="16"/>
  <c r="L3" i="16"/>
  <c r="J3" i="16"/>
  <c r="H3" i="16"/>
  <c r="F3" i="16"/>
  <c r="D3" i="16"/>
  <c r="B3" i="16"/>
  <c r="T2" i="16"/>
  <c r="R2" i="16"/>
  <c r="P2" i="16"/>
  <c r="N2" i="16"/>
  <c r="L2" i="16"/>
  <c r="J2" i="16"/>
  <c r="H2" i="16"/>
  <c r="F2" i="16"/>
  <c r="D2" i="16"/>
  <c r="B2" i="16"/>
  <c r="A1" i="14"/>
  <c r="A1"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4" i="4"/>
  <c r="F45" i="4"/>
  <c r="F46" i="4"/>
  <c r="F47" i="4"/>
  <c r="F48" i="4"/>
  <c r="F49" i="4"/>
  <c r="F50" i="4"/>
  <c r="F51" i="4"/>
  <c r="F52" i="4"/>
  <c r="F53" i="4"/>
  <c r="F54" i="4"/>
  <c r="F55" i="4"/>
  <c r="F56" i="4"/>
  <c r="F57" i="4"/>
  <c r="F58" i="4"/>
  <c r="F59" i="4"/>
  <c r="F60" i="4"/>
  <c r="F61" i="4"/>
  <c r="F65" i="4"/>
  <c r="F69" i="4"/>
  <c r="F70" i="4"/>
  <c r="F71" i="4"/>
  <c r="F72" i="4"/>
  <c r="F73" i="4"/>
  <c r="F74" i="4"/>
  <c r="F75" i="4"/>
  <c r="F76" i="4"/>
  <c r="F77" i="4"/>
  <c r="F79" i="4"/>
  <c r="F80" i="4"/>
  <c r="F81" i="4"/>
  <c r="F82" i="4"/>
  <c r="F83" i="4"/>
  <c r="F84" i="4"/>
  <c r="F85" i="4"/>
  <c r="F86" i="4"/>
  <c r="F87" i="4"/>
  <c r="F88" i="4"/>
  <c r="F89" i="4"/>
  <c r="F90" i="4"/>
  <c r="F91" i="4"/>
  <c r="F92" i="4"/>
  <c r="F93" i="4"/>
  <c r="F94" i="4"/>
  <c r="F95" i="4"/>
  <c r="F96" i="4"/>
  <c r="F97" i="4"/>
  <c r="F98" i="4"/>
  <c r="F99" i="4"/>
  <c r="F100" i="4"/>
  <c r="F101" i="4"/>
  <c r="F102" i="4"/>
  <c r="F103" i="4"/>
  <c r="F105" i="4"/>
  <c r="F106" i="4"/>
  <c r="F107" i="4"/>
  <c r="F108" i="4"/>
  <c r="F109" i="4"/>
  <c r="F110" i="4"/>
  <c r="F111" i="4"/>
  <c r="F112" i="4"/>
  <c r="F113" i="4"/>
  <c r="F114" i="4"/>
  <c r="F115" i="4"/>
  <c r="F116" i="4"/>
  <c r="F117" i="4"/>
  <c r="F118" i="4"/>
  <c r="F119" i="4"/>
  <c r="F120" i="4"/>
  <c r="F121" i="4"/>
  <c r="F122" i="4"/>
  <c r="F123" i="4"/>
  <c r="F124" i="4"/>
  <c r="F125" i="4"/>
  <c r="F126" i="4"/>
  <c r="F127" i="4"/>
  <c r="F128"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7" i="4"/>
  <c r="F168" i="4"/>
  <c r="F169" i="4"/>
  <c r="F170" i="4"/>
  <c r="F171" i="4"/>
  <c r="F172" i="4"/>
  <c r="F173" i="4"/>
  <c r="F174" i="4"/>
  <c r="F175" i="4"/>
  <c r="F176" i="4"/>
  <c r="F177" i="4"/>
  <c r="F178" i="4"/>
  <c r="F179" i="4"/>
  <c r="F180"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36" i="4"/>
  <c r="F237" i="4"/>
  <c r="F238" i="4"/>
  <c r="F227" i="4"/>
  <c r="F228" i="4"/>
  <c r="F229" i="4"/>
  <c r="F230" i="4"/>
  <c r="F231" i="4"/>
  <c r="F232" i="4"/>
  <c r="F233" i="4"/>
  <c r="F234" i="4"/>
  <c r="F235" i="4"/>
  <c r="F239" i="4"/>
  <c r="F240" i="4"/>
  <c r="F241" i="4"/>
  <c r="F242" i="4"/>
  <c r="F243" i="4"/>
  <c r="F244" i="4"/>
  <c r="F245" i="4"/>
  <c r="F246" i="4"/>
  <c r="F247"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82" i="4"/>
  <c r="F383" i="4"/>
  <c r="F384" i="4"/>
  <c r="F385" i="4"/>
  <c r="F386" i="4"/>
  <c r="F387" i="4"/>
  <c r="F388" i="4"/>
  <c r="F389" i="4"/>
  <c r="F390" i="4"/>
  <c r="F391" i="4"/>
  <c r="F392" i="4"/>
  <c r="F393" i="4"/>
  <c r="F394" i="4"/>
  <c r="F395" i="4"/>
  <c r="F396" i="4"/>
  <c r="F397" i="4"/>
  <c r="F398" i="4"/>
  <c r="F399" i="4"/>
  <c r="F400" i="4"/>
  <c r="F401" i="4"/>
  <c r="F402" i="4"/>
  <c r="F403" i="4"/>
  <c r="F404" i="4"/>
  <c r="F405" i="4"/>
  <c r="F407" i="4"/>
  <c r="F408" i="4"/>
  <c r="F409" i="4"/>
  <c r="F410" i="4"/>
  <c r="F411" i="4"/>
  <c r="F412" i="4"/>
  <c r="F413" i="4"/>
  <c r="F414" i="4"/>
  <c r="F415" i="4"/>
  <c r="F416" i="4"/>
  <c r="F417" i="4"/>
  <c r="F418" i="4"/>
  <c r="F419" i="4"/>
  <c r="F420" i="4"/>
  <c r="F421" i="4"/>
  <c r="F422" i="4"/>
  <c r="F423" i="4"/>
  <c r="F424" i="4"/>
  <c r="F425" i="4"/>
  <c r="F426" i="4"/>
  <c r="F427"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4" i="4"/>
  <c r="E8" i="16"/>
  <c r="S141" i="16"/>
  <c r="Q141" i="16"/>
  <c r="O141" i="16"/>
  <c r="M141" i="16"/>
  <c r="K141" i="16"/>
  <c r="I141" i="16"/>
  <c r="G141" i="16"/>
  <c r="E141" i="16"/>
  <c r="S140" i="16"/>
  <c r="Q140" i="16"/>
  <c r="O140" i="16"/>
  <c r="M140" i="16"/>
  <c r="K140" i="16"/>
  <c r="I140" i="16"/>
  <c r="G140" i="16"/>
  <c r="E140" i="16"/>
  <c r="S139" i="16"/>
  <c r="Q139" i="16"/>
  <c r="O139" i="16"/>
  <c r="M139" i="16"/>
  <c r="K139" i="16"/>
  <c r="I139" i="16"/>
  <c r="G139" i="16"/>
  <c r="E139" i="16"/>
  <c r="C139" i="16"/>
  <c r="S138" i="16"/>
  <c r="Q138" i="16"/>
  <c r="O138" i="16"/>
  <c r="M138" i="16"/>
  <c r="K138" i="16"/>
  <c r="I138" i="16"/>
  <c r="G138" i="16"/>
  <c r="E138" i="16"/>
  <c r="S137" i="16"/>
  <c r="Q137" i="16"/>
  <c r="O137" i="16"/>
  <c r="M137" i="16"/>
  <c r="K137" i="16"/>
  <c r="I137" i="16"/>
  <c r="G137" i="16"/>
  <c r="E137" i="16"/>
  <c r="S136" i="16"/>
  <c r="Q136" i="16"/>
  <c r="O136" i="16"/>
  <c r="M136" i="16"/>
  <c r="K136" i="16"/>
  <c r="I136" i="16"/>
  <c r="G136" i="16"/>
  <c r="E136" i="16"/>
  <c r="S135" i="16"/>
  <c r="Q135" i="16"/>
  <c r="O135" i="16"/>
  <c r="M135" i="16"/>
  <c r="K135" i="16"/>
  <c r="I135" i="16"/>
  <c r="G135" i="16"/>
  <c r="E135" i="16"/>
  <c r="C135" i="16"/>
  <c r="S134" i="16"/>
  <c r="Q134" i="16"/>
  <c r="O134" i="16"/>
  <c r="M134" i="16"/>
  <c r="K134" i="16"/>
  <c r="I134" i="16"/>
  <c r="G134" i="16"/>
  <c r="E134" i="16"/>
  <c r="C134" i="16"/>
  <c r="S133" i="16"/>
  <c r="Q133" i="16"/>
  <c r="O133" i="16"/>
  <c r="M133" i="16"/>
  <c r="K133" i="16"/>
  <c r="I133" i="16"/>
  <c r="G133" i="16"/>
  <c r="E133" i="16"/>
  <c r="S132" i="16"/>
  <c r="Q132" i="16"/>
  <c r="O132" i="16"/>
  <c r="M132" i="16"/>
  <c r="K132" i="16"/>
  <c r="I132" i="16"/>
  <c r="G132" i="16"/>
  <c r="E132" i="16"/>
  <c r="S131" i="16"/>
  <c r="Q131" i="16"/>
  <c r="O131" i="16"/>
  <c r="M131" i="16"/>
  <c r="K131" i="16"/>
  <c r="I131" i="16"/>
  <c r="G131" i="16"/>
  <c r="E131" i="16"/>
  <c r="C131" i="16"/>
  <c r="S130" i="16"/>
  <c r="Q130" i="16"/>
  <c r="O130" i="16"/>
  <c r="M130" i="16"/>
  <c r="K130" i="16"/>
  <c r="I130" i="16"/>
  <c r="G130" i="16"/>
  <c r="E130" i="16"/>
  <c r="S129" i="16"/>
  <c r="Q129" i="16"/>
  <c r="O129" i="16"/>
  <c r="M129" i="16"/>
  <c r="K129" i="16"/>
  <c r="I129" i="16"/>
  <c r="G129" i="16"/>
  <c r="E129" i="16"/>
  <c r="S128" i="16"/>
  <c r="Q128" i="16"/>
  <c r="O128" i="16"/>
  <c r="M128" i="16"/>
  <c r="K128" i="16"/>
  <c r="I128" i="16"/>
  <c r="G128" i="16"/>
  <c r="E128" i="16"/>
  <c r="S127" i="16"/>
  <c r="Q127" i="16"/>
  <c r="O127" i="16"/>
  <c r="M127" i="16"/>
  <c r="K127" i="16"/>
  <c r="I127" i="16"/>
  <c r="G127" i="16"/>
  <c r="E127" i="16"/>
  <c r="C127" i="16"/>
  <c r="S126" i="16"/>
  <c r="Q126" i="16"/>
  <c r="O126" i="16"/>
  <c r="M126" i="16"/>
  <c r="K126" i="16"/>
  <c r="I126" i="16"/>
  <c r="G126" i="16"/>
  <c r="E126" i="16"/>
  <c r="S125" i="16"/>
  <c r="Q125" i="16"/>
  <c r="O125" i="16"/>
  <c r="M125" i="16"/>
  <c r="K125" i="16"/>
  <c r="I125" i="16"/>
  <c r="G125" i="16"/>
  <c r="E125" i="16"/>
  <c r="S124" i="16"/>
  <c r="Q124" i="16"/>
  <c r="O124" i="16"/>
  <c r="M124" i="16"/>
  <c r="K124" i="16"/>
  <c r="I124" i="16"/>
  <c r="G124" i="16"/>
  <c r="E124" i="16"/>
  <c r="S123" i="16"/>
  <c r="Q123" i="16"/>
  <c r="O123" i="16"/>
  <c r="M123" i="16"/>
  <c r="K123" i="16"/>
  <c r="I123" i="16"/>
  <c r="G123" i="16"/>
  <c r="E123" i="16"/>
  <c r="C123" i="16"/>
  <c r="S122" i="16"/>
  <c r="Q122" i="16"/>
  <c r="O122" i="16"/>
  <c r="M122" i="16"/>
  <c r="K122" i="16"/>
  <c r="I122" i="16"/>
  <c r="G122" i="16"/>
  <c r="E122" i="16"/>
  <c r="C122" i="16"/>
  <c r="S121" i="16"/>
  <c r="Q121" i="16"/>
  <c r="O121" i="16"/>
  <c r="M121" i="16"/>
  <c r="K121" i="16"/>
  <c r="I121" i="16"/>
  <c r="G121" i="16"/>
  <c r="E121" i="16"/>
  <c r="S120" i="16"/>
  <c r="Q120" i="16"/>
  <c r="O120" i="16"/>
  <c r="M120" i="16"/>
  <c r="K120" i="16"/>
  <c r="I120" i="16"/>
  <c r="G120" i="16"/>
  <c r="E120" i="16"/>
  <c r="S119" i="16"/>
  <c r="Q119" i="16"/>
  <c r="O119" i="16"/>
  <c r="M119" i="16"/>
  <c r="K119" i="16"/>
  <c r="I119" i="16"/>
  <c r="G119" i="16"/>
  <c r="E119" i="16"/>
  <c r="S118" i="16"/>
  <c r="Q118" i="16"/>
  <c r="O118" i="16"/>
  <c r="M118" i="16"/>
  <c r="K118" i="16"/>
  <c r="I118" i="16"/>
  <c r="G118" i="16"/>
  <c r="E118" i="16"/>
  <c r="S117" i="16"/>
  <c r="Q117" i="16"/>
  <c r="O117" i="16"/>
  <c r="M117" i="16"/>
  <c r="K117" i="16"/>
  <c r="I117" i="16"/>
  <c r="G117" i="16"/>
  <c r="E117" i="16"/>
  <c r="S116" i="16"/>
  <c r="Q116" i="16"/>
  <c r="O116" i="16"/>
  <c r="M116" i="16"/>
  <c r="K116" i="16"/>
  <c r="I116" i="16"/>
  <c r="G116" i="16"/>
  <c r="E116" i="16"/>
  <c r="S115" i="16"/>
  <c r="Q115" i="16"/>
  <c r="O115" i="16"/>
  <c r="M115" i="16"/>
  <c r="K115" i="16"/>
  <c r="I115" i="16"/>
  <c r="G115" i="16"/>
  <c r="E115" i="16"/>
  <c r="C115" i="16"/>
  <c r="S114" i="16"/>
  <c r="Q114" i="16"/>
  <c r="O114" i="16"/>
  <c r="M114" i="16"/>
  <c r="K114" i="16"/>
  <c r="I114" i="16"/>
  <c r="G114" i="16"/>
  <c r="E114" i="16"/>
  <c r="S113" i="16"/>
  <c r="Q113" i="16"/>
  <c r="O113" i="16"/>
  <c r="M113" i="16"/>
  <c r="K113" i="16"/>
  <c r="I113" i="16"/>
  <c r="G113" i="16"/>
  <c r="E113" i="16"/>
  <c r="S112" i="16"/>
  <c r="Q112" i="16"/>
  <c r="O112" i="16"/>
  <c r="M112" i="16"/>
  <c r="K112" i="16"/>
  <c r="I112" i="16"/>
  <c r="G112" i="16"/>
  <c r="E112" i="16"/>
  <c r="C112" i="16"/>
  <c r="S111" i="16"/>
  <c r="Q111" i="16"/>
  <c r="O111" i="16"/>
  <c r="M111" i="16"/>
  <c r="K111" i="16"/>
  <c r="I111" i="16"/>
  <c r="G111" i="16"/>
  <c r="E111" i="16"/>
  <c r="C111" i="16"/>
  <c r="S110" i="16"/>
  <c r="Q110" i="16"/>
  <c r="O110" i="16"/>
  <c r="M110" i="16"/>
  <c r="K110" i="16"/>
  <c r="I110" i="16"/>
  <c r="G110" i="16"/>
  <c r="E110" i="16"/>
  <c r="S109" i="16"/>
  <c r="Q109" i="16"/>
  <c r="O109" i="16"/>
  <c r="M109" i="16"/>
  <c r="K109" i="16"/>
  <c r="I109" i="16"/>
  <c r="G109" i="16"/>
  <c r="E109" i="16"/>
  <c r="S108" i="16"/>
  <c r="Q108" i="16"/>
  <c r="O108" i="16"/>
  <c r="M108" i="16"/>
  <c r="K108" i="16"/>
  <c r="I108" i="16"/>
  <c r="G108" i="16"/>
  <c r="E108" i="16"/>
  <c r="C108" i="16"/>
  <c r="S107" i="16"/>
  <c r="Q107" i="16"/>
  <c r="O107" i="16"/>
  <c r="M107" i="16"/>
  <c r="K107" i="16"/>
  <c r="I107" i="16"/>
  <c r="G107" i="16"/>
  <c r="E107" i="16"/>
  <c r="C107" i="16"/>
  <c r="S106" i="16"/>
  <c r="Q106" i="16"/>
  <c r="O106" i="16"/>
  <c r="M106" i="16"/>
  <c r="K106" i="16"/>
  <c r="I106" i="16"/>
  <c r="G106" i="16"/>
  <c r="E106" i="16"/>
  <c r="S104" i="16"/>
  <c r="Q104" i="16"/>
  <c r="O104" i="16"/>
  <c r="M104" i="16"/>
  <c r="K104" i="16"/>
  <c r="I104" i="16"/>
  <c r="G104" i="16"/>
  <c r="E104" i="16"/>
  <c r="S103" i="16"/>
  <c r="Q103" i="16"/>
  <c r="O103" i="16"/>
  <c r="M103" i="16"/>
  <c r="K103" i="16"/>
  <c r="I103" i="16"/>
  <c r="G103" i="16"/>
  <c r="E103" i="16"/>
  <c r="S102" i="16"/>
  <c r="Q102" i="16"/>
  <c r="O102" i="16"/>
  <c r="M102" i="16"/>
  <c r="K102" i="16"/>
  <c r="I102" i="16"/>
  <c r="G102" i="16"/>
  <c r="E102" i="16"/>
  <c r="S101" i="16"/>
  <c r="Q101" i="16"/>
  <c r="O101" i="16"/>
  <c r="M101" i="16"/>
  <c r="K101" i="16"/>
  <c r="I101" i="16"/>
  <c r="G101" i="16"/>
  <c r="E101" i="16"/>
  <c r="C101" i="16"/>
  <c r="S100" i="16"/>
  <c r="Q100" i="16"/>
  <c r="O100" i="16"/>
  <c r="M100" i="16"/>
  <c r="K100" i="16"/>
  <c r="I100" i="16"/>
  <c r="G100" i="16"/>
  <c r="E100" i="16"/>
  <c r="S99" i="16"/>
  <c r="Q99" i="16"/>
  <c r="O99" i="16"/>
  <c r="M99" i="16"/>
  <c r="K99" i="16"/>
  <c r="I99" i="16"/>
  <c r="G99" i="16"/>
  <c r="E99" i="16"/>
  <c r="C99" i="16"/>
  <c r="S98" i="16"/>
  <c r="Q98" i="16"/>
  <c r="O98" i="16"/>
  <c r="M98" i="16"/>
  <c r="K98" i="16"/>
  <c r="I98" i="16"/>
  <c r="G98" i="16"/>
  <c r="E98" i="16"/>
  <c r="C98" i="16"/>
  <c r="S97" i="16"/>
  <c r="Q97" i="16"/>
  <c r="O97" i="16"/>
  <c r="M97" i="16"/>
  <c r="K97" i="16"/>
  <c r="I97" i="16"/>
  <c r="G97" i="16"/>
  <c r="E97" i="16"/>
  <c r="S96" i="16"/>
  <c r="Q96" i="16"/>
  <c r="O96" i="16"/>
  <c r="M96" i="16"/>
  <c r="K96" i="16"/>
  <c r="I96" i="16"/>
  <c r="G96" i="16"/>
  <c r="E96" i="16"/>
  <c r="S95" i="16"/>
  <c r="Q95" i="16"/>
  <c r="O95" i="16"/>
  <c r="M95" i="16"/>
  <c r="K95" i="16"/>
  <c r="I95" i="16"/>
  <c r="G95" i="16"/>
  <c r="E95" i="16"/>
  <c r="S94" i="16"/>
  <c r="Q94" i="16"/>
  <c r="O94" i="16"/>
  <c r="M94" i="16"/>
  <c r="K94" i="16"/>
  <c r="I94" i="16"/>
  <c r="G94" i="16"/>
  <c r="E94" i="16"/>
  <c r="C94" i="16"/>
  <c r="S93" i="16"/>
  <c r="Q93" i="16"/>
  <c r="O93" i="16"/>
  <c r="M93" i="16"/>
  <c r="K93" i="16"/>
  <c r="I93" i="16"/>
  <c r="G93" i="16"/>
  <c r="E93" i="16"/>
  <c r="S92" i="16"/>
  <c r="Q92" i="16"/>
  <c r="O92" i="16"/>
  <c r="M92" i="16"/>
  <c r="K92" i="16"/>
  <c r="I92" i="16"/>
  <c r="G92" i="16"/>
  <c r="E92" i="16"/>
  <c r="S91" i="16"/>
  <c r="Q91" i="16"/>
  <c r="O91" i="16"/>
  <c r="M91" i="16"/>
  <c r="K91" i="16"/>
  <c r="I91" i="16"/>
  <c r="G91" i="16"/>
  <c r="E91" i="16"/>
  <c r="S90" i="16"/>
  <c r="Q90" i="16"/>
  <c r="O90" i="16"/>
  <c r="M90" i="16"/>
  <c r="K90" i="16"/>
  <c r="I90" i="16"/>
  <c r="G90" i="16"/>
  <c r="E90" i="16"/>
  <c r="C90" i="16"/>
  <c r="S89" i="16"/>
  <c r="Q89" i="16"/>
  <c r="O89" i="16"/>
  <c r="M89" i="16"/>
  <c r="K89" i="16"/>
  <c r="I89" i="16"/>
  <c r="G89" i="16"/>
  <c r="E89" i="16"/>
  <c r="S88" i="16"/>
  <c r="Q88" i="16"/>
  <c r="O88" i="16"/>
  <c r="M88" i="16"/>
  <c r="K88" i="16"/>
  <c r="I88" i="16"/>
  <c r="G88" i="16"/>
  <c r="E88" i="16"/>
  <c r="S87" i="16"/>
  <c r="Q87" i="16"/>
  <c r="O87" i="16"/>
  <c r="M87" i="16"/>
  <c r="K87" i="16"/>
  <c r="I87" i="16"/>
  <c r="G87" i="16"/>
  <c r="E87" i="16"/>
  <c r="S86" i="16"/>
  <c r="Q86" i="16"/>
  <c r="O86" i="16"/>
  <c r="M86" i="16"/>
  <c r="K86" i="16"/>
  <c r="I86" i="16"/>
  <c r="G86" i="16"/>
  <c r="E86" i="16"/>
  <c r="S85" i="16"/>
  <c r="Q85" i="16"/>
  <c r="O85" i="16"/>
  <c r="M85" i="16"/>
  <c r="K85" i="16"/>
  <c r="I85" i="16"/>
  <c r="G85" i="16"/>
  <c r="E85" i="16"/>
  <c r="S84" i="16"/>
  <c r="Q84" i="16"/>
  <c r="O84" i="16"/>
  <c r="M84" i="16"/>
  <c r="K84" i="16"/>
  <c r="I84" i="16"/>
  <c r="G84" i="16"/>
  <c r="E84" i="16"/>
  <c r="S83" i="16"/>
  <c r="Q83" i="16"/>
  <c r="O83" i="16"/>
  <c r="M83" i="16"/>
  <c r="K83" i="16"/>
  <c r="I83" i="16"/>
  <c r="G83" i="16"/>
  <c r="E83" i="16"/>
  <c r="S82" i="16"/>
  <c r="Q82" i="16"/>
  <c r="O82" i="16"/>
  <c r="M82" i="16"/>
  <c r="K82" i="16"/>
  <c r="I82" i="16"/>
  <c r="G82" i="16"/>
  <c r="E82" i="16"/>
  <c r="C82" i="16"/>
  <c r="S81" i="16"/>
  <c r="Q81" i="16"/>
  <c r="O81" i="16"/>
  <c r="M81" i="16"/>
  <c r="K81" i="16"/>
  <c r="I81" i="16"/>
  <c r="G81" i="16"/>
  <c r="E81" i="16"/>
  <c r="S80" i="16"/>
  <c r="Q80" i="16"/>
  <c r="O80" i="16"/>
  <c r="M80" i="16"/>
  <c r="K80" i="16"/>
  <c r="I80" i="16"/>
  <c r="G80" i="16"/>
  <c r="E80" i="16"/>
  <c r="S79" i="16"/>
  <c r="Q79" i="16"/>
  <c r="O79" i="16"/>
  <c r="M79" i="16"/>
  <c r="K79" i="16"/>
  <c r="I79" i="16"/>
  <c r="G79" i="16"/>
  <c r="E79" i="16"/>
  <c r="S78" i="16"/>
  <c r="Q78" i="16"/>
  <c r="O78" i="16"/>
  <c r="M78" i="16"/>
  <c r="K78" i="16"/>
  <c r="I78" i="16"/>
  <c r="G78" i="16"/>
  <c r="E78" i="16"/>
  <c r="C78" i="16"/>
  <c r="S77" i="16"/>
  <c r="Q77" i="16"/>
  <c r="O77" i="16"/>
  <c r="M77" i="16"/>
  <c r="K77" i="16"/>
  <c r="I77" i="16"/>
  <c r="G77" i="16"/>
  <c r="E77" i="16"/>
  <c r="S76" i="16"/>
  <c r="Q76" i="16"/>
  <c r="O76" i="16"/>
  <c r="M76" i="16"/>
  <c r="K76" i="16"/>
  <c r="I76" i="16"/>
  <c r="G76" i="16"/>
  <c r="E76" i="16"/>
  <c r="S75" i="16"/>
  <c r="Q75" i="16"/>
  <c r="O75" i="16"/>
  <c r="M75" i="16"/>
  <c r="K75" i="16"/>
  <c r="I75" i="16"/>
  <c r="G75" i="16"/>
  <c r="E75" i="16"/>
  <c r="S74" i="16"/>
  <c r="Q74" i="16"/>
  <c r="O74" i="16"/>
  <c r="M74" i="16"/>
  <c r="K74" i="16"/>
  <c r="I74" i="16"/>
  <c r="G74" i="16"/>
  <c r="E74" i="16"/>
  <c r="C74" i="16"/>
  <c r="S73" i="16"/>
  <c r="Q73" i="16"/>
  <c r="O73" i="16"/>
  <c r="M73" i="16"/>
  <c r="K73" i="16"/>
  <c r="I73" i="16"/>
  <c r="G73" i="16"/>
  <c r="E73" i="16"/>
  <c r="S72" i="16"/>
  <c r="Q72" i="16"/>
  <c r="O72" i="16"/>
  <c r="M72" i="16"/>
  <c r="K72" i="16"/>
  <c r="I72" i="16"/>
  <c r="G72" i="16"/>
  <c r="E72" i="16"/>
  <c r="S71" i="16"/>
  <c r="Q71" i="16"/>
  <c r="O71" i="16"/>
  <c r="M71" i="16"/>
  <c r="K71" i="16"/>
  <c r="I71" i="16"/>
  <c r="G71" i="16"/>
  <c r="E71" i="16"/>
  <c r="S70" i="16"/>
  <c r="Q70" i="16"/>
  <c r="O70" i="16"/>
  <c r="M70" i="16"/>
  <c r="K70" i="16"/>
  <c r="I70" i="16"/>
  <c r="G70" i="16"/>
  <c r="E70" i="16"/>
  <c r="S69" i="16"/>
  <c r="Q69" i="16"/>
  <c r="O69" i="16"/>
  <c r="M69" i="16"/>
  <c r="K69" i="16"/>
  <c r="I69" i="16"/>
  <c r="G69" i="16"/>
  <c r="E69" i="16"/>
  <c r="S68" i="16"/>
  <c r="Q68" i="16"/>
  <c r="O68" i="16"/>
  <c r="M68" i="16"/>
  <c r="K68" i="16"/>
  <c r="I68" i="16"/>
  <c r="G68" i="16"/>
  <c r="E68" i="16"/>
  <c r="S67" i="16"/>
  <c r="Q67" i="16"/>
  <c r="O67" i="16"/>
  <c r="M67" i="16"/>
  <c r="K67" i="16"/>
  <c r="I67" i="16"/>
  <c r="G67" i="16"/>
  <c r="E67" i="16"/>
  <c r="S66" i="16"/>
  <c r="Q66" i="16"/>
  <c r="O66" i="16"/>
  <c r="M66" i="16"/>
  <c r="K66" i="16"/>
  <c r="I66" i="16"/>
  <c r="G66" i="16"/>
  <c r="E66" i="16"/>
  <c r="C66" i="16"/>
  <c r="S65" i="16"/>
  <c r="Q65" i="16"/>
  <c r="O65" i="16"/>
  <c r="M65" i="16"/>
  <c r="K65" i="16"/>
  <c r="I65" i="16"/>
  <c r="G65" i="16"/>
  <c r="E65" i="16"/>
  <c r="S64" i="16"/>
  <c r="Q64" i="16"/>
  <c r="O64" i="16"/>
  <c r="M64" i="16"/>
  <c r="K64" i="16"/>
  <c r="I64" i="16"/>
  <c r="G64" i="16"/>
  <c r="E64" i="16"/>
  <c r="S63" i="16"/>
  <c r="Q63" i="16"/>
  <c r="O63" i="16"/>
  <c r="M63" i="16"/>
  <c r="K63" i="16"/>
  <c r="I63" i="16"/>
  <c r="G63" i="16"/>
  <c r="E63" i="16"/>
  <c r="S62" i="16"/>
  <c r="Q62" i="16"/>
  <c r="O62" i="16"/>
  <c r="M62" i="16"/>
  <c r="K62" i="16"/>
  <c r="I62" i="16"/>
  <c r="G62" i="16"/>
  <c r="E62" i="16"/>
  <c r="C62" i="16"/>
  <c r="S61" i="16"/>
  <c r="Q61" i="16"/>
  <c r="O61" i="16"/>
  <c r="M61" i="16"/>
  <c r="K61" i="16"/>
  <c r="I61" i="16"/>
  <c r="G61" i="16"/>
  <c r="E61" i="16"/>
  <c r="S60" i="16"/>
  <c r="Q60" i="16"/>
  <c r="O60" i="16"/>
  <c r="M60" i="16"/>
  <c r="K60" i="16"/>
  <c r="I60" i="16"/>
  <c r="G60" i="16"/>
  <c r="E60" i="16"/>
  <c r="S59" i="16"/>
  <c r="Q59" i="16"/>
  <c r="O59" i="16"/>
  <c r="M59" i="16"/>
  <c r="K59" i="16"/>
  <c r="I59" i="16"/>
  <c r="G59" i="16"/>
  <c r="E59" i="16"/>
  <c r="S58" i="16"/>
  <c r="Q58" i="16"/>
  <c r="O58" i="16"/>
  <c r="M58" i="16"/>
  <c r="K58" i="16"/>
  <c r="I58" i="16"/>
  <c r="G58" i="16"/>
  <c r="E58" i="16"/>
  <c r="C58" i="16"/>
  <c r="S57" i="16"/>
  <c r="Q57" i="16"/>
  <c r="O57" i="16"/>
  <c r="M57" i="16"/>
  <c r="K57" i="16"/>
  <c r="I57" i="16"/>
  <c r="G57" i="16"/>
  <c r="E57" i="16"/>
  <c r="S56" i="16"/>
  <c r="Q56" i="16"/>
  <c r="O56" i="16"/>
  <c r="M56" i="16"/>
  <c r="K56" i="16"/>
  <c r="I56" i="16"/>
  <c r="G56" i="16"/>
  <c r="E56" i="16"/>
  <c r="S55" i="16"/>
  <c r="Q55" i="16"/>
  <c r="O55" i="16"/>
  <c r="M55" i="16"/>
  <c r="K55" i="16"/>
  <c r="I55" i="16"/>
  <c r="G55" i="16"/>
  <c r="E55" i="16"/>
  <c r="S54" i="16"/>
  <c r="Q54" i="16"/>
  <c r="O54" i="16"/>
  <c r="M54" i="16"/>
  <c r="K54" i="16"/>
  <c r="I54" i="16"/>
  <c r="G54" i="16"/>
  <c r="E54" i="16"/>
  <c r="S53" i="16"/>
  <c r="Q53" i="16"/>
  <c r="O53" i="16"/>
  <c r="M53" i="16"/>
  <c r="K53" i="16"/>
  <c r="I53" i="16"/>
  <c r="G53" i="16"/>
  <c r="E53" i="16"/>
  <c r="S52" i="16"/>
  <c r="Q52" i="16"/>
  <c r="O52" i="16"/>
  <c r="M52" i="16"/>
  <c r="K52" i="16"/>
  <c r="I52" i="16"/>
  <c r="G52" i="16"/>
  <c r="E52" i="16"/>
  <c r="S51" i="16"/>
  <c r="Q51" i="16"/>
  <c r="O51" i="16"/>
  <c r="M51" i="16"/>
  <c r="K51" i="16"/>
  <c r="I51" i="16"/>
  <c r="G51" i="16"/>
  <c r="E51" i="16"/>
  <c r="S50" i="16"/>
  <c r="Q50" i="16"/>
  <c r="O50" i="16"/>
  <c r="M50" i="16"/>
  <c r="K50" i="16"/>
  <c r="I50" i="16"/>
  <c r="G50" i="16"/>
  <c r="E50" i="16"/>
  <c r="C50" i="16"/>
  <c r="S49" i="16"/>
  <c r="Q49" i="16"/>
  <c r="O49" i="16"/>
  <c r="M49" i="16"/>
  <c r="K49" i="16"/>
  <c r="I49" i="16"/>
  <c r="G49" i="16"/>
  <c r="E49" i="16"/>
  <c r="C49" i="16"/>
  <c r="S48" i="16"/>
  <c r="Q48" i="16"/>
  <c r="O48" i="16"/>
  <c r="M48" i="16"/>
  <c r="K48" i="16"/>
  <c r="I48" i="16"/>
  <c r="G48" i="16"/>
  <c r="E48" i="16"/>
  <c r="S47" i="16"/>
  <c r="Q47" i="16"/>
  <c r="O47" i="16"/>
  <c r="M47" i="16"/>
  <c r="K47" i="16"/>
  <c r="I47" i="16"/>
  <c r="G47" i="16"/>
  <c r="E47" i="16"/>
  <c r="S46" i="16"/>
  <c r="Q46" i="16"/>
  <c r="O46" i="16"/>
  <c r="M46" i="16"/>
  <c r="K46" i="16"/>
  <c r="I46" i="16"/>
  <c r="G46" i="16"/>
  <c r="E46" i="16"/>
  <c r="C46" i="16"/>
  <c r="S45" i="16"/>
  <c r="Q45" i="16"/>
  <c r="O45" i="16"/>
  <c r="M45" i="16"/>
  <c r="K45" i="16"/>
  <c r="I45" i="16"/>
  <c r="G45" i="16"/>
  <c r="E45" i="16"/>
  <c r="S44" i="16"/>
  <c r="Q44" i="16"/>
  <c r="O44" i="16"/>
  <c r="M44" i="16"/>
  <c r="K44" i="16"/>
  <c r="I44" i="16"/>
  <c r="G44" i="16"/>
  <c r="E44" i="16"/>
  <c r="S43" i="16"/>
  <c r="Q43" i="16"/>
  <c r="O43" i="16"/>
  <c r="M43" i="16"/>
  <c r="K43" i="16"/>
  <c r="I43" i="16"/>
  <c r="G43" i="16"/>
  <c r="E43" i="16"/>
  <c r="S42" i="16"/>
  <c r="Q42" i="16"/>
  <c r="O42" i="16"/>
  <c r="M42" i="16"/>
  <c r="K42" i="16"/>
  <c r="I42" i="16"/>
  <c r="G42" i="16"/>
  <c r="E42" i="16"/>
  <c r="C42" i="16"/>
  <c r="S41" i="16"/>
  <c r="Q41" i="16"/>
  <c r="O41" i="16"/>
  <c r="M41" i="16"/>
  <c r="K41" i="16"/>
  <c r="I41" i="16"/>
  <c r="G41" i="16"/>
  <c r="E41" i="16"/>
  <c r="S40" i="16"/>
  <c r="Q40" i="16"/>
  <c r="O40" i="16"/>
  <c r="M40" i="16"/>
  <c r="K40" i="16"/>
  <c r="I40" i="16"/>
  <c r="G40" i="16"/>
  <c r="E40" i="16"/>
  <c r="S39" i="16"/>
  <c r="Q39" i="16"/>
  <c r="O39" i="16"/>
  <c r="M39" i="16"/>
  <c r="K39" i="16"/>
  <c r="I39" i="16"/>
  <c r="G39" i="16"/>
  <c r="E39" i="16"/>
  <c r="S38" i="16"/>
  <c r="Q38" i="16"/>
  <c r="O38" i="16"/>
  <c r="M38" i="16"/>
  <c r="K38" i="16"/>
  <c r="I38" i="16"/>
  <c r="G38" i="16"/>
  <c r="E38" i="16"/>
  <c r="S37" i="16"/>
  <c r="Q37" i="16"/>
  <c r="O37" i="16"/>
  <c r="M37" i="16"/>
  <c r="K37" i="16"/>
  <c r="I37" i="16"/>
  <c r="G37" i="16"/>
  <c r="E37" i="16"/>
  <c r="S36" i="16"/>
  <c r="Q36" i="16"/>
  <c r="O36" i="16"/>
  <c r="M36" i="16"/>
  <c r="K36" i="16"/>
  <c r="I36" i="16"/>
  <c r="G36" i="16"/>
  <c r="E36" i="16"/>
  <c r="S35" i="16"/>
  <c r="Q35" i="16"/>
  <c r="O35" i="16"/>
  <c r="M35" i="16"/>
  <c r="K35" i="16"/>
  <c r="I35" i="16"/>
  <c r="G35" i="16"/>
  <c r="E35" i="16"/>
  <c r="S34" i="16"/>
  <c r="Q34" i="16"/>
  <c r="O34" i="16"/>
  <c r="M34" i="16"/>
  <c r="K34" i="16"/>
  <c r="I34" i="16"/>
  <c r="G34" i="16"/>
  <c r="E34" i="16"/>
  <c r="C34" i="16"/>
  <c r="S33" i="16"/>
  <c r="Q33" i="16"/>
  <c r="O33" i="16"/>
  <c r="M33" i="16"/>
  <c r="K33" i="16"/>
  <c r="I33" i="16"/>
  <c r="G33" i="16"/>
  <c r="E33" i="16"/>
  <c r="S32" i="16"/>
  <c r="Q32" i="16"/>
  <c r="O32" i="16"/>
  <c r="M32" i="16"/>
  <c r="K32" i="16"/>
  <c r="I32" i="16"/>
  <c r="G32" i="16"/>
  <c r="E32" i="16"/>
  <c r="S31" i="16"/>
  <c r="Q31" i="16"/>
  <c r="O31" i="16"/>
  <c r="M31" i="16"/>
  <c r="K31" i="16"/>
  <c r="I31" i="16"/>
  <c r="G31" i="16"/>
  <c r="E31" i="16"/>
  <c r="S30" i="16"/>
  <c r="Q30" i="16"/>
  <c r="O30" i="16"/>
  <c r="M30" i="16"/>
  <c r="K30" i="16"/>
  <c r="I30" i="16"/>
  <c r="G30" i="16"/>
  <c r="E30" i="16"/>
  <c r="C30" i="16"/>
  <c r="S29" i="16"/>
  <c r="Q29" i="16"/>
  <c r="O29" i="16"/>
  <c r="M29" i="16"/>
  <c r="K29" i="16"/>
  <c r="I29" i="16"/>
  <c r="G29" i="16"/>
  <c r="E29" i="16"/>
  <c r="S28" i="16"/>
  <c r="Q28" i="16"/>
  <c r="O28" i="16"/>
  <c r="M28" i="16"/>
  <c r="K28" i="16"/>
  <c r="I28" i="16"/>
  <c r="G28" i="16"/>
  <c r="E28" i="16"/>
  <c r="S27" i="16"/>
  <c r="Q27" i="16"/>
  <c r="O27" i="16"/>
  <c r="M27" i="16"/>
  <c r="K27" i="16"/>
  <c r="I27" i="16"/>
  <c r="G27" i="16"/>
  <c r="E27" i="16"/>
  <c r="S26" i="16"/>
  <c r="Q26" i="16"/>
  <c r="O26" i="16"/>
  <c r="M26" i="16"/>
  <c r="K26" i="16"/>
  <c r="I26" i="16"/>
  <c r="G26" i="16"/>
  <c r="E26" i="16"/>
  <c r="C26" i="16"/>
  <c r="S25" i="16"/>
  <c r="Q25" i="16"/>
  <c r="O25" i="16"/>
  <c r="M25" i="16"/>
  <c r="K25" i="16"/>
  <c r="I25" i="16"/>
  <c r="G25" i="16"/>
  <c r="E25" i="16"/>
  <c r="S24" i="16"/>
  <c r="Q24" i="16"/>
  <c r="O24" i="16"/>
  <c r="M24" i="16"/>
  <c r="K24" i="16"/>
  <c r="I24" i="16"/>
  <c r="G24" i="16"/>
  <c r="E24" i="16"/>
  <c r="S23" i="16"/>
  <c r="Q23" i="16"/>
  <c r="O23" i="16"/>
  <c r="M23" i="16"/>
  <c r="K23" i="16"/>
  <c r="I23" i="16"/>
  <c r="G23" i="16"/>
  <c r="E23" i="16"/>
  <c r="S22" i="16"/>
  <c r="Q22" i="16"/>
  <c r="O22" i="16"/>
  <c r="M22" i="16"/>
  <c r="K22" i="16"/>
  <c r="I22" i="16"/>
  <c r="G22" i="16"/>
  <c r="E22" i="16"/>
  <c r="C22" i="16"/>
  <c r="S21" i="16"/>
  <c r="Q21" i="16"/>
  <c r="O21" i="16"/>
  <c r="M21" i="16"/>
  <c r="K21" i="16"/>
  <c r="I21" i="16"/>
  <c r="G21" i="16"/>
  <c r="E21" i="16"/>
  <c r="S20" i="16"/>
  <c r="Q20" i="16"/>
  <c r="O20" i="16"/>
  <c r="M20" i="16"/>
  <c r="K20" i="16"/>
  <c r="I20" i="16"/>
  <c r="G20" i="16"/>
  <c r="E20" i="16"/>
  <c r="S19" i="16"/>
  <c r="Q19" i="16"/>
  <c r="O19" i="16"/>
  <c r="M19" i="16"/>
  <c r="K19" i="16"/>
  <c r="I19" i="16"/>
  <c r="G19" i="16"/>
  <c r="E19" i="16"/>
  <c r="S18" i="16"/>
  <c r="Q18" i="16"/>
  <c r="O18" i="16"/>
  <c r="M18" i="16"/>
  <c r="K18" i="16"/>
  <c r="I18" i="16"/>
  <c r="G18" i="16"/>
  <c r="E18" i="16"/>
  <c r="C18" i="16"/>
  <c r="S16" i="16"/>
  <c r="Q16" i="16"/>
  <c r="O16" i="16"/>
  <c r="M16" i="16"/>
  <c r="K16" i="16"/>
  <c r="I16" i="16"/>
  <c r="G16" i="16"/>
  <c r="E16" i="16"/>
  <c r="S15" i="16"/>
  <c r="Q15" i="16"/>
  <c r="O15" i="16"/>
  <c r="M15" i="16"/>
  <c r="K15" i="16"/>
  <c r="I15" i="16"/>
  <c r="G15" i="16"/>
  <c r="E15" i="16"/>
  <c r="S14" i="16"/>
  <c r="Q14" i="16"/>
  <c r="O14" i="16"/>
  <c r="M14" i="16"/>
  <c r="K14" i="16"/>
  <c r="I14" i="16"/>
  <c r="G14" i="16"/>
  <c r="E14" i="16"/>
  <c r="S13" i="16"/>
  <c r="Q13" i="16"/>
  <c r="O13" i="16"/>
  <c r="M13" i="16"/>
  <c r="K13" i="16"/>
  <c r="I13" i="16"/>
  <c r="G13" i="16"/>
  <c r="E13" i="16"/>
  <c r="C13" i="16"/>
  <c r="S12" i="16"/>
  <c r="Q12" i="16"/>
  <c r="O12" i="16"/>
  <c r="M12" i="16"/>
  <c r="K12" i="16"/>
  <c r="I12" i="16"/>
  <c r="G12" i="16"/>
  <c r="E12" i="16"/>
  <c r="S11" i="16"/>
  <c r="Q11" i="16"/>
  <c r="O11" i="16"/>
  <c r="M11" i="16"/>
  <c r="K11" i="16"/>
  <c r="I11" i="16"/>
  <c r="G11" i="16"/>
  <c r="E11" i="16"/>
  <c r="S10" i="16"/>
  <c r="Q10" i="16"/>
  <c r="O10" i="16"/>
  <c r="M10" i="16"/>
  <c r="K10" i="16"/>
  <c r="I10" i="16"/>
  <c r="G10" i="16"/>
  <c r="E10" i="16"/>
  <c r="S9" i="16"/>
  <c r="Q9" i="16"/>
  <c r="O9" i="16"/>
  <c r="M9" i="16"/>
  <c r="K9" i="16"/>
  <c r="I9" i="16"/>
  <c r="G9" i="16"/>
  <c r="E9" i="16"/>
  <c r="C9" i="16"/>
  <c r="S8" i="16"/>
  <c r="Q8" i="16"/>
  <c r="O8" i="16"/>
  <c r="M8" i="16"/>
  <c r="K8" i="16"/>
  <c r="I8" i="16"/>
  <c r="G8" i="16"/>
  <c r="C8" i="16"/>
  <c r="S7" i="16"/>
  <c r="Q7" i="16"/>
  <c r="O7" i="16"/>
  <c r="M7" i="16"/>
  <c r="K7" i="16"/>
  <c r="I7" i="16"/>
  <c r="G7" i="16"/>
  <c r="E7" i="16"/>
  <c r="S6" i="16"/>
  <c r="Q6" i="16"/>
  <c r="O6" i="16"/>
  <c r="M6" i="16"/>
  <c r="K6" i="16"/>
  <c r="I6" i="16"/>
  <c r="G6" i="16"/>
  <c r="E6" i="16"/>
  <c r="S5" i="16"/>
  <c r="Q5" i="16"/>
  <c r="O5" i="16"/>
  <c r="M5" i="16"/>
  <c r="K5" i="16"/>
  <c r="I5" i="16"/>
  <c r="G5" i="16"/>
  <c r="E5" i="16"/>
  <c r="S4" i="16"/>
  <c r="Q4" i="16"/>
  <c r="O4" i="16"/>
  <c r="M4" i="16"/>
  <c r="K4" i="16"/>
  <c r="I4" i="16"/>
  <c r="G4" i="16"/>
  <c r="E4" i="16"/>
  <c r="C4" i="16"/>
  <c r="S3" i="16"/>
  <c r="Q3" i="16"/>
  <c r="O3" i="16"/>
  <c r="M3" i="16"/>
  <c r="K3" i="16"/>
  <c r="I3" i="16"/>
  <c r="G3" i="16"/>
  <c r="S2" i="16"/>
  <c r="Q2" i="16"/>
  <c r="O2" i="16"/>
  <c r="M2" i="16"/>
  <c r="K2" i="16"/>
  <c r="I2" i="16"/>
  <c r="G2" i="16"/>
  <c r="E3" i="16"/>
  <c r="E2" i="16"/>
  <c r="W129" i="16"/>
  <c r="W5" i="16"/>
  <c r="C5" i="16"/>
  <c r="W49" i="16"/>
  <c r="V49" i="16"/>
  <c r="W12" i="16"/>
  <c r="C12" i="16"/>
  <c r="W16" i="16"/>
  <c r="C16" i="16"/>
  <c r="W21" i="16"/>
  <c r="W25" i="16"/>
  <c r="C25" i="16"/>
  <c r="W29" i="16"/>
  <c r="C29" i="16"/>
  <c r="C33" i="16"/>
  <c r="W33" i="16"/>
  <c r="W37" i="16"/>
  <c r="W41" i="16"/>
  <c r="C41" i="16"/>
  <c r="W45" i="16"/>
  <c r="C45" i="16"/>
  <c r="W53" i="16"/>
  <c r="W57" i="16"/>
  <c r="C57" i="16"/>
  <c r="W61" i="16"/>
  <c r="C61" i="16"/>
  <c r="W65" i="16"/>
  <c r="C65" i="16"/>
  <c r="W69" i="16"/>
  <c r="W73" i="16"/>
  <c r="C73" i="16"/>
  <c r="W77" i="16"/>
  <c r="C77" i="16"/>
  <c r="W81" i="16"/>
  <c r="C81" i="16"/>
  <c r="W85" i="16"/>
  <c r="W89" i="16"/>
  <c r="C89" i="16"/>
  <c r="W93" i="16"/>
  <c r="C93" i="16"/>
  <c r="W97" i="16"/>
  <c r="C97" i="16"/>
  <c r="W101" i="16"/>
  <c r="V101" i="16"/>
  <c r="W103" i="16"/>
  <c r="C103" i="16"/>
  <c r="W112" i="16"/>
  <c r="V112" i="16"/>
  <c r="W116" i="16"/>
  <c r="W120" i="16"/>
  <c r="C120" i="16"/>
  <c r="W124" i="16"/>
  <c r="C124" i="16"/>
  <c r="W128" i="16"/>
  <c r="W132" i="16"/>
  <c r="W136" i="16"/>
  <c r="C136" i="16"/>
  <c r="W140" i="16"/>
  <c r="C140" i="16"/>
  <c r="C132" i="16"/>
  <c r="C85" i="16"/>
  <c r="C69" i="16"/>
  <c r="C53" i="16"/>
  <c r="C37" i="16"/>
  <c r="C21" i="16"/>
  <c r="W3" i="16"/>
  <c r="C3" i="16"/>
  <c r="W7" i="16"/>
  <c r="C7" i="16"/>
  <c r="W10" i="16"/>
  <c r="C10" i="16"/>
  <c r="W14" i="16"/>
  <c r="W19" i="16"/>
  <c r="C19" i="16"/>
  <c r="W23" i="16"/>
  <c r="C23" i="16"/>
  <c r="W27" i="16"/>
  <c r="C27" i="16"/>
  <c r="W31" i="16"/>
  <c r="W35" i="16"/>
  <c r="C35" i="16"/>
  <c r="W39" i="16"/>
  <c r="C39" i="16"/>
  <c r="W43" i="16"/>
  <c r="C43" i="16"/>
  <c r="W47" i="16"/>
  <c r="W51" i="16"/>
  <c r="C51" i="16"/>
  <c r="W55" i="16"/>
  <c r="C55" i="16"/>
  <c r="W59" i="16"/>
  <c r="C59" i="16"/>
  <c r="W63" i="16"/>
  <c r="W67" i="16"/>
  <c r="C67" i="16"/>
  <c r="W71" i="16"/>
  <c r="C71" i="16"/>
  <c r="C75" i="16"/>
  <c r="W75" i="16"/>
  <c r="W79" i="16"/>
  <c r="W83" i="16"/>
  <c r="C83" i="16"/>
  <c r="W87" i="16"/>
  <c r="C87" i="16"/>
  <c r="C91" i="16"/>
  <c r="W91" i="16"/>
  <c r="W95" i="16"/>
  <c r="W99" i="16"/>
  <c r="V99" i="16"/>
  <c r="W106" i="16"/>
  <c r="W110" i="16"/>
  <c r="C110" i="16"/>
  <c r="W114" i="16"/>
  <c r="C114" i="16"/>
  <c r="W118" i="16"/>
  <c r="W122" i="16"/>
  <c r="V122" i="16"/>
  <c r="W126" i="16"/>
  <c r="C126" i="16"/>
  <c r="W130" i="16"/>
  <c r="C130" i="16"/>
  <c r="W134" i="16"/>
  <c r="V134" i="16"/>
  <c r="W138" i="16"/>
  <c r="C128" i="16"/>
  <c r="C118" i="16"/>
  <c r="C95" i="16"/>
  <c r="C79" i="16"/>
  <c r="C63" i="16"/>
  <c r="C47" i="16"/>
  <c r="C31" i="16"/>
  <c r="C14" i="16"/>
  <c r="W119" i="16"/>
  <c r="C138" i="16"/>
  <c r="C116" i="16"/>
  <c r="C106" i="16"/>
  <c r="W108" i="16"/>
  <c r="V108" i="16"/>
  <c r="W2" i="16"/>
  <c r="W4" i="16"/>
  <c r="V4" i="16"/>
  <c r="W6" i="16"/>
  <c r="W8" i="16"/>
  <c r="V8" i="16"/>
  <c r="C2" i="16"/>
  <c r="C6" i="16"/>
  <c r="W135" i="16"/>
  <c r="V135" i="16"/>
  <c r="W22" i="16"/>
  <c r="V22" i="16"/>
  <c r="W9" i="16"/>
  <c r="V9" i="16"/>
  <c r="W11" i="16"/>
  <c r="C11" i="16"/>
  <c r="W13" i="16"/>
  <c r="V13" i="16"/>
  <c r="W15" i="16"/>
  <c r="C15" i="16"/>
  <c r="W18" i="16"/>
  <c r="V18" i="16"/>
  <c r="W20" i="16"/>
  <c r="C20" i="16"/>
  <c r="W24" i="16"/>
  <c r="C24" i="16"/>
  <c r="W26" i="16"/>
  <c r="V26" i="16"/>
  <c r="W28" i="16"/>
  <c r="C28" i="16"/>
  <c r="W30" i="16"/>
  <c r="V30" i="16"/>
  <c r="W32" i="16"/>
  <c r="C32" i="16"/>
  <c r="W34" i="16"/>
  <c r="V34" i="16"/>
  <c r="W36" i="16"/>
  <c r="C36" i="16"/>
  <c r="W38" i="16"/>
  <c r="W40" i="16"/>
  <c r="C40" i="16"/>
  <c r="W42" i="16"/>
  <c r="V42" i="16"/>
  <c r="W44" i="16"/>
  <c r="C44" i="16"/>
  <c r="W46" i="16"/>
  <c r="V46" i="16"/>
  <c r="W48" i="16"/>
  <c r="C48" i="16"/>
  <c r="W50" i="16"/>
  <c r="V50" i="16"/>
  <c r="W52" i="16"/>
  <c r="C52" i="16"/>
  <c r="W54" i="16"/>
  <c r="W56" i="16"/>
  <c r="C56" i="16"/>
  <c r="W58" i="16"/>
  <c r="V58" i="16"/>
  <c r="W60" i="16"/>
  <c r="C60" i="16"/>
  <c r="W62" i="16"/>
  <c r="V62" i="16"/>
  <c r="W64" i="16"/>
  <c r="C64" i="16"/>
  <c r="W66" i="16"/>
  <c r="V66" i="16"/>
  <c r="W68" i="16"/>
  <c r="C68" i="16"/>
  <c r="W70" i="16"/>
  <c r="W72" i="16"/>
  <c r="C72" i="16"/>
  <c r="W74" i="16"/>
  <c r="V74" i="16"/>
  <c r="W76" i="16"/>
  <c r="C76" i="16"/>
  <c r="W78" i="16"/>
  <c r="V78" i="16"/>
  <c r="W80" i="16"/>
  <c r="C80" i="16"/>
  <c r="W82" i="16"/>
  <c r="V82" i="16"/>
  <c r="W84" i="16"/>
  <c r="C84" i="16"/>
  <c r="W86" i="16"/>
  <c r="W88" i="16"/>
  <c r="C88" i="16"/>
  <c r="W90" i="16"/>
  <c r="V90" i="16"/>
  <c r="W92" i="16"/>
  <c r="C92" i="16"/>
  <c r="W94" i="16"/>
  <c r="V94" i="16"/>
  <c r="W96" i="16"/>
  <c r="C96" i="16"/>
  <c r="W98" i="16"/>
  <c r="V98" i="16"/>
  <c r="W100" i="16"/>
  <c r="C100" i="16"/>
  <c r="W102" i="16"/>
  <c r="W104" i="16"/>
  <c r="C104" i="16"/>
  <c r="W107" i="16"/>
  <c r="V107" i="16"/>
  <c r="W109" i="16"/>
  <c r="C109" i="16"/>
  <c r="W111" i="16"/>
  <c r="V111" i="16"/>
  <c r="W113" i="16"/>
  <c r="C113" i="16"/>
  <c r="W115" i="16"/>
  <c r="V115" i="16"/>
  <c r="W117" i="16"/>
  <c r="C117" i="16"/>
  <c r="W121" i="16"/>
  <c r="C121" i="16"/>
  <c r="W123" i="16"/>
  <c r="V123" i="16"/>
  <c r="W125" i="16"/>
  <c r="C125" i="16"/>
  <c r="W127" i="16"/>
  <c r="V127" i="16"/>
  <c r="C129" i="16"/>
  <c r="W131" i="16"/>
  <c r="V131" i="16"/>
  <c r="W133" i="16"/>
  <c r="C133" i="16"/>
  <c r="W137" i="16"/>
  <c r="C137" i="16"/>
  <c r="W139" i="16"/>
  <c r="V139" i="16"/>
  <c r="W141" i="16"/>
  <c r="C141" i="16"/>
  <c r="C119" i="16"/>
  <c r="C102" i="16"/>
  <c r="C86" i="16"/>
  <c r="C70" i="16"/>
  <c r="C54" i="16"/>
  <c r="C38" i="16"/>
  <c r="V106" i="16"/>
  <c r="V129" i="16"/>
  <c r="V54" i="16"/>
  <c r="V2" i="16"/>
  <c r="V47" i="16"/>
  <c r="V130" i="16"/>
  <c r="V110" i="16"/>
  <c r="V67" i="16"/>
  <c r="V39" i="16"/>
  <c r="V141" i="16"/>
  <c r="V117" i="16"/>
  <c r="V100" i="16"/>
  <c r="V84" i="16"/>
  <c r="V68" i="16"/>
  <c r="V69" i="16"/>
  <c r="V93" i="16"/>
  <c r="V5" i="16"/>
  <c r="V128" i="16"/>
  <c r="V14" i="16"/>
  <c r="V79" i="16"/>
  <c r="V126" i="16"/>
  <c r="V114" i="16"/>
  <c r="V91" i="16"/>
  <c r="V71" i="16"/>
  <c r="V43" i="16"/>
  <c r="V35" i="16"/>
  <c r="V140" i="16"/>
  <c r="V120" i="16"/>
  <c r="V45" i="16"/>
  <c r="V16" i="16"/>
  <c r="V10" i="16"/>
  <c r="V21" i="16"/>
  <c r="V136" i="16"/>
  <c r="V124" i="16"/>
  <c r="V41" i="16"/>
  <c r="V33" i="16"/>
  <c r="V12" i="16"/>
  <c r="V52" i="16"/>
  <c r="V36" i="16"/>
  <c r="V65" i="16"/>
  <c r="V57" i="16"/>
  <c r="V37" i="16"/>
  <c r="V70" i="16"/>
  <c r="V86" i="16"/>
  <c r="V38" i="16"/>
  <c r="V102" i="16"/>
  <c r="V121" i="16"/>
  <c r="V109" i="16"/>
  <c r="V92" i="16"/>
  <c r="V76" i="16"/>
  <c r="V60" i="16"/>
  <c r="V44" i="16"/>
  <c r="V28" i="16"/>
  <c r="V15" i="16"/>
  <c r="V6" i="16"/>
  <c r="V97" i="16"/>
  <c r="V89" i="16"/>
  <c r="V61" i="16"/>
  <c r="V119" i="16"/>
  <c r="V137" i="16"/>
  <c r="V125" i="16"/>
  <c r="V113" i="16"/>
  <c r="V96" i="16"/>
  <c r="V80" i="16"/>
  <c r="V64" i="16"/>
  <c r="V48" i="16"/>
  <c r="V32" i="16"/>
  <c r="V20" i="16"/>
  <c r="V138" i="16"/>
  <c r="V63" i="16"/>
  <c r="V118" i="16"/>
  <c r="V87" i="16"/>
  <c r="V59" i="16"/>
  <c r="V51" i="16"/>
  <c r="V23" i="16"/>
  <c r="V7" i="16"/>
  <c r="V85" i="16"/>
  <c r="V103" i="16"/>
  <c r="V77" i="16"/>
  <c r="V29" i="16"/>
  <c r="V133" i="16"/>
  <c r="V104" i="16"/>
  <c r="V88" i="16"/>
  <c r="V72" i="16"/>
  <c r="V56" i="16"/>
  <c r="V40" i="16"/>
  <c r="V24" i="16"/>
  <c r="V11" i="16"/>
  <c r="V116" i="16"/>
  <c r="V31" i="16"/>
  <c r="V95" i="16"/>
  <c r="V83" i="16"/>
  <c r="V75" i="16"/>
  <c r="V55" i="16"/>
  <c r="V27" i="16"/>
  <c r="V19" i="16"/>
  <c r="V3" i="16"/>
  <c r="V53" i="16"/>
  <c r="V132" i="16"/>
  <c r="V81" i="16"/>
  <c r="V73" i="16"/>
  <c r="V25" i="16"/>
  <c r="A1" i="2"/>
  <c r="A1" i="6"/>
</calcChain>
</file>

<file path=xl/sharedStrings.xml><?xml version="1.0" encoding="utf-8"?>
<sst xmlns="http://schemas.openxmlformats.org/spreadsheetml/2006/main" count="3325" uniqueCount="1586">
  <si>
    <t>AC-1</t>
  </si>
  <si>
    <t>ACCESS CONTROL POLICY AND PROCEDURES</t>
  </si>
  <si>
    <t>AC-2</t>
  </si>
  <si>
    <t>AC-3</t>
  </si>
  <si>
    <t>ACCESS ENFORCEMENT</t>
  </si>
  <si>
    <t>AC-4</t>
  </si>
  <si>
    <t>INFORMATION FLOW ENFORCEMENT</t>
  </si>
  <si>
    <t>AC-5</t>
  </si>
  <si>
    <t>SEPARATION OF DUTIES</t>
  </si>
  <si>
    <t>AC-6</t>
  </si>
  <si>
    <t>LEAST PRIVILEGE</t>
  </si>
  <si>
    <t>AC-7</t>
  </si>
  <si>
    <t>UNSUCCESSFUL LOGON ATTEMPTS</t>
  </si>
  <si>
    <t>AC-17</t>
  </si>
  <si>
    <t>REMOTE ACCESS</t>
  </si>
  <si>
    <t>AC-18</t>
  </si>
  <si>
    <t>WIRELESS ACCESS</t>
  </si>
  <si>
    <t>AC-19</t>
  </si>
  <si>
    <t>ACCESS CONTROL FOR MOBILE DEVICES</t>
  </si>
  <si>
    <t>AC-20</t>
  </si>
  <si>
    <t>USE OF EXTERNAL INFORMATION SYSTEMS</t>
  </si>
  <si>
    <t>AC-21</t>
  </si>
  <si>
    <t>INFORMATION SHARING</t>
  </si>
  <si>
    <t>AT-1</t>
  </si>
  <si>
    <t>SECURITY AWARENESS AND TRAINING POLICY AND PROCEDURES</t>
  </si>
  <si>
    <t>AT-2</t>
  </si>
  <si>
    <t>SECURITY AWARENESS TRAINING</t>
  </si>
  <si>
    <t>AU-1</t>
  </si>
  <si>
    <t>AUDIT AND ACCOUNTABILITY POLICY AND PROCEDURES</t>
  </si>
  <si>
    <t>AU-2</t>
  </si>
  <si>
    <t>AUDIT EVENTS</t>
  </si>
  <si>
    <t>AU-3</t>
  </si>
  <si>
    <t>CONTENT OF AUDIT RECORDS</t>
  </si>
  <si>
    <t>AU-4</t>
  </si>
  <si>
    <t>AUDIT STORAGE CAPACITY</t>
  </si>
  <si>
    <t>AU-5</t>
  </si>
  <si>
    <t>RESPONSE TO AUDIT PROCESSING FAILURES</t>
  </si>
  <si>
    <t>AU-6</t>
  </si>
  <si>
    <t>AUDIT REVIEW, ANALYSIS, AND REPORTING</t>
  </si>
  <si>
    <t>AU-7</t>
  </si>
  <si>
    <t>AUDIT REDUCTION AND REPORT GENERATION</t>
  </si>
  <si>
    <t>AU-8</t>
  </si>
  <si>
    <t>TIME STAMPS</t>
  </si>
  <si>
    <t>AU-9</t>
  </si>
  <si>
    <t>PROTECTION OF AUDIT INFORMATION</t>
  </si>
  <si>
    <t>AU-11</t>
  </si>
  <si>
    <t>AUDIT RECORD RETENTION</t>
  </si>
  <si>
    <t>AU-12</t>
  </si>
  <si>
    <t>AUDIT GENERATION</t>
  </si>
  <si>
    <t>CA-1</t>
  </si>
  <si>
    <t>SECURITY ASSESSMENT AND AUTHORIZATION POLICY AND PROCEDURES</t>
  </si>
  <si>
    <t>CA-2</t>
  </si>
  <si>
    <t>SECURITY ASSESSMENTS</t>
  </si>
  <si>
    <t>CA-3</t>
  </si>
  <si>
    <t>SYSTEM INTERCONNECTIONS</t>
  </si>
  <si>
    <t>PLAN OF ACTION AND MILESTONES</t>
  </si>
  <si>
    <t>CA-7</t>
  </si>
  <si>
    <t>CONTINUOUS MONITORING</t>
  </si>
  <si>
    <t>CA-9</t>
  </si>
  <si>
    <t>INTERNAL SYSTEM CONNECTIONS</t>
  </si>
  <si>
    <t>CM-1</t>
  </si>
  <si>
    <t>CONFIGURATION MANAGEMENT POLICY AND PROCEDURES</t>
  </si>
  <si>
    <t>CM-2</t>
  </si>
  <si>
    <t>BASELINE CONFIGURATION</t>
  </si>
  <si>
    <t>CM-3</t>
  </si>
  <si>
    <t>CONFIGURATION CHANGE CONTROL</t>
  </si>
  <si>
    <t>CM-4</t>
  </si>
  <si>
    <t>SECURITY IMPACT ANALYSIS</t>
  </si>
  <si>
    <t>CM-5</t>
  </si>
  <si>
    <t>ACCESS RESTRICTIONS FOR CHANGE</t>
  </si>
  <si>
    <t>CM-6</t>
  </si>
  <si>
    <t>CONFIGURATION SETTINGS</t>
  </si>
  <si>
    <t>CM-7</t>
  </si>
  <si>
    <t>LEAST FUNCTIONALITY</t>
  </si>
  <si>
    <t>CM-8</t>
  </si>
  <si>
    <t>INFORMATION SYSTEM COMPONENT INVENTORY</t>
  </si>
  <si>
    <t>CM-9</t>
  </si>
  <si>
    <t>CONFIGURATION MANAGEMENT PLAN</t>
  </si>
  <si>
    <t>CM-10</t>
  </si>
  <si>
    <t>SOFTWARE USAGE RESTRICTIONS</t>
  </si>
  <si>
    <t>CM-11</t>
  </si>
  <si>
    <t>USER-INSTALLED SOFTWARE</t>
  </si>
  <si>
    <t>CP-1</t>
  </si>
  <si>
    <t>CONTINGENCY PLANNING POLICY AND PROCEDURES</t>
  </si>
  <si>
    <t>CP-2</t>
  </si>
  <si>
    <t>CONTINGENCY PLAN</t>
  </si>
  <si>
    <t>IA-1</t>
  </si>
  <si>
    <t>IDENTIFICATION AND AUTHENTICATION POLICY AND PROCEDURES</t>
  </si>
  <si>
    <t>IA-2</t>
  </si>
  <si>
    <t>IDENTIFICATION AND AUTHENTICATION (ORGANIZATIONAL USERS)</t>
  </si>
  <si>
    <t>IA-3</t>
  </si>
  <si>
    <t>DEVICE IDENTIFICATION AND AUTHENTICATION</t>
  </si>
  <si>
    <t>IA-4</t>
  </si>
  <si>
    <t>IDENTIFIER MANAGEMENT</t>
  </si>
  <si>
    <t>IA-5</t>
  </si>
  <si>
    <t>AUTHENTICATOR MANAGEMENT</t>
  </si>
  <si>
    <t>IA-6</t>
  </si>
  <si>
    <t>AUTHENTICATOR FEEDBACK</t>
  </si>
  <si>
    <t>IA-7</t>
  </si>
  <si>
    <t>CRYPTOGRAPHIC MODULE AUTHENTICATION</t>
  </si>
  <si>
    <t>IA-8</t>
  </si>
  <si>
    <t>IDENTIFICATION AND AUTHENTICATION (NON-ORGANIZATIONAL USERS)</t>
  </si>
  <si>
    <t>IR-1</t>
  </si>
  <si>
    <t>INCIDENT RESPONSE POLICY AND PROCEDURES</t>
  </si>
  <si>
    <t>IR-3</t>
  </si>
  <si>
    <t>INCIDENT RESPONSE TESTING</t>
  </si>
  <si>
    <t>IR-4</t>
  </si>
  <si>
    <t>INCIDENT HANDLING</t>
  </si>
  <si>
    <t>IR-5</t>
  </si>
  <si>
    <t>INCIDENT MONITORING</t>
  </si>
  <si>
    <t>IR-6</t>
  </si>
  <si>
    <t>INCIDENT REPORTING</t>
  </si>
  <si>
    <t>IR-8</t>
  </si>
  <si>
    <t>INCIDENT RESPONSE PLAN</t>
  </si>
  <si>
    <t>MA-1</t>
  </si>
  <si>
    <t>SYSTEM MAINTENANCE POLICY AND PROCEDURES</t>
  </si>
  <si>
    <t>MA-2</t>
  </si>
  <si>
    <t>CONTROLLED MAINTENANCE</t>
  </si>
  <si>
    <t>MA-3</t>
  </si>
  <si>
    <t>MAINTENANCE TOOLS</t>
  </si>
  <si>
    <t>MA-4</t>
  </si>
  <si>
    <t>NONLOCAL MAINTENANCE</t>
  </si>
  <si>
    <t>MA-5</t>
  </si>
  <si>
    <t>MAINTENANCE PERSONNEL</t>
  </si>
  <si>
    <t>MP-1</t>
  </si>
  <si>
    <t>MEDIA PROTECTION POLICY AND PROCEDURES</t>
  </si>
  <si>
    <t>MP-2</t>
  </si>
  <si>
    <t>MEDIA ACCESS</t>
  </si>
  <si>
    <t>MP-4</t>
  </si>
  <si>
    <t>MEDIA STORAGE</t>
  </si>
  <si>
    <t>MP-5</t>
  </si>
  <si>
    <t>MEDIA TRANSPORT</t>
  </si>
  <si>
    <t>MP-6</t>
  </si>
  <si>
    <t>MEDIA SANITIZATION</t>
  </si>
  <si>
    <t>MP-7</t>
  </si>
  <si>
    <t>MEDIA USE</t>
  </si>
  <si>
    <t>PE-1</t>
  </si>
  <si>
    <t>PHYSICAL AND ENVIRONMENTAL PROTECTION POLICY AND PROCEDURES</t>
  </si>
  <si>
    <t>PE-2</t>
  </si>
  <si>
    <t>PHYSICAL ACCESS AUTHORIZATIONS</t>
  </si>
  <si>
    <t>PE-3</t>
  </si>
  <si>
    <t>PHYSICAL ACCESS CONTROL</t>
  </si>
  <si>
    <t>PE-5</t>
  </si>
  <si>
    <t>ACCESS CONTROL FOR OUTPUT DEVICES</t>
  </si>
  <si>
    <t>PE-6</t>
  </si>
  <si>
    <t>MONITORING PHYSICAL ACCESS</t>
  </si>
  <si>
    <t>PE-16</t>
  </si>
  <si>
    <t>DELIVERY AND REMOVAL</t>
  </si>
  <si>
    <t>PL-1</t>
  </si>
  <si>
    <t>SECURITY PLANNING POLICY AND PROCEDURES</t>
  </si>
  <si>
    <t>PL-2</t>
  </si>
  <si>
    <t>SYSTEM SECURITY PLAN</t>
  </si>
  <si>
    <t>RULES OF BEHAVIOR</t>
  </si>
  <si>
    <t>PL-8</t>
  </si>
  <si>
    <t>INFORMATION SECURITY ARCHITECTURE</t>
  </si>
  <si>
    <t>PS-1</t>
  </si>
  <si>
    <t>PERSONNEL SECURITY POLICY AND PROCEDURES</t>
  </si>
  <si>
    <t>PS-2</t>
  </si>
  <si>
    <t>POSITION RISK DESIGNATION</t>
  </si>
  <si>
    <t>PS-3</t>
  </si>
  <si>
    <t>PERSONNEL SCREENING</t>
  </si>
  <si>
    <t>PS-5</t>
  </si>
  <si>
    <t>PERSONNEL TRANSFER</t>
  </si>
  <si>
    <t>PS-6</t>
  </si>
  <si>
    <t>ACCESS AGREEMENTS</t>
  </si>
  <si>
    <t>PS-7</t>
  </si>
  <si>
    <t>THIRD-PARTY PERSONNEL SECURITY</t>
  </si>
  <si>
    <t>PS-8</t>
  </si>
  <si>
    <t>PERSONNEL SANCTIONS</t>
  </si>
  <si>
    <t>RA-1</t>
  </si>
  <si>
    <t>RISK ASSESSMENT POLICY AND PROCEDURES</t>
  </si>
  <si>
    <t>RA-2</t>
  </si>
  <si>
    <t>SECURITY CATEGORIZATION</t>
  </si>
  <si>
    <t>RA-3</t>
  </si>
  <si>
    <t>RISK ASSESSMENT</t>
  </si>
  <si>
    <t>RA-5</t>
  </si>
  <si>
    <t>VULNERABILITY SCANNING</t>
  </si>
  <si>
    <t>SA-1</t>
  </si>
  <si>
    <t>SYSTEM AND SERVICES ACQUISITION POLICY AND PROCEDURES</t>
  </si>
  <si>
    <t>SA-3</t>
  </si>
  <si>
    <t>SYSTEM DEVELOPMENT LIFE CYCLE</t>
  </si>
  <si>
    <t>SA-4</t>
  </si>
  <si>
    <t>ACQUISITION PROCESS</t>
  </si>
  <si>
    <t>SA-5</t>
  </si>
  <si>
    <t>INFORMATION SYSTEM DOCUMENTATION</t>
  </si>
  <si>
    <t>SA-8</t>
  </si>
  <si>
    <t>SECURITY ENGINEERING PRINCIPLES</t>
  </si>
  <si>
    <t>SA-9</t>
  </si>
  <si>
    <t>EXTERNAL INFORMATION SYSTEM SERVICES</t>
  </si>
  <si>
    <t>SA-10</t>
  </si>
  <si>
    <t>DEVELOPER CONFIGURATION MANAGEMENT</t>
  </si>
  <si>
    <t>SA-11</t>
  </si>
  <si>
    <t>DEVELOPER SECURITY TESTING AND EVALUATION</t>
  </si>
  <si>
    <t>SC-1</t>
  </si>
  <si>
    <t>SYSTEM AND COMMUNICATIONS PROTECTION POLICY AND PROCEDURES</t>
  </si>
  <si>
    <t>APPLICATION PARTITIONING</t>
  </si>
  <si>
    <t>SC-5</t>
  </si>
  <si>
    <t>DENIAL OF SERVICE PROTECTION</t>
  </si>
  <si>
    <t>SC-7</t>
  </si>
  <si>
    <t>BOUNDARY PROTECTION</t>
  </si>
  <si>
    <t>SC-8</t>
  </si>
  <si>
    <t>TRANSMISSION CONFIDENTIALITY AND INTEGRITY</t>
  </si>
  <si>
    <t>SC-13</t>
  </si>
  <si>
    <t>CRYPTOGRAPHIC PROTECTION</t>
  </si>
  <si>
    <t>SC-18</t>
  </si>
  <si>
    <t>MOBILE CODE</t>
  </si>
  <si>
    <t>SC-28</t>
  </si>
  <si>
    <t>PROTECTION OF INFORMATION AT REST</t>
  </si>
  <si>
    <t>SI-1</t>
  </si>
  <si>
    <t>SYSTEM AND INFORMATION INTEGRITY POLICY AND PROCEDURES</t>
  </si>
  <si>
    <t>SI-2</t>
  </si>
  <si>
    <t>FLAW REMEDIATION</t>
  </si>
  <si>
    <t>SI-3</t>
  </si>
  <si>
    <t>MALICIOUS CODE PROTECTION</t>
  </si>
  <si>
    <t>SI-4</t>
  </si>
  <si>
    <t>INFORMATION SYSTEM MONITORING</t>
  </si>
  <si>
    <t>SI-5</t>
  </si>
  <si>
    <t>SECURITY ALERTS, ADVISORIES, AND DIRECTIVES</t>
  </si>
  <si>
    <t>SI-7</t>
  </si>
  <si>
    <t>SOFTWARE, FIRMWARE, AND INFORMATION INTEGRITY</t>
  </si>
  <si>
    <t>AC-16</t>
  </si>
  <si>
    <t>AU-10</t>
  </si>
  <si>
    <t>CA-8</t>
  </si>
  <si>
    <t>IA-9</t>
  </si>
  <si>
    <t>IA-10</t>
  </si>
  <si>
    <t>IA-11</t>
  </si>
  <si>
    <t>PE-18</t>
  </si>
  <si>
    <t>PE-19</t>
  </si>
  <si>
    <t>PE-20</t>
  </si>
  <si>
    <t>SA-12</t>
  </si>
  <si>
    <t>SA-14</t>
  </si>
  <si>
    <t>SA-15</t>
  </si>
  <si>
    <t>SA-17</t>
  </si>
  <si>
    <t>SC-31</t>
  </si>
  <si>
    <t>PM-1</t>
  </si>
  <si>
    <t>PM-4</t>
  </si>
  <si>
    <t>PM-6</t>
  </si>
  <si>
    <t>PM-8</t>
  </si>
  <si>
    <t>PM-9</t>
  </si>
  <si>
    <t>PM-11</t>
  </si>
  <si>
    <t>PM-12</t>
  </si>
  <si>
    <t>PM-13</t>
  </si>
  <si>
    <t>PM-14</t>
  </si>
  <si>
    <t>PM-15</t>
  </si>
  <si>
    <t>PM-16</t>
  </si>
  <si>
    <t>y1</t>
  </si>
  <si>
    <t>y2</t>
  </si>
  <si>
    <t>y3</t>
  </si>
  <si>
    <t>Yr Priority</t>
  </si>
  <si>
    <t>INFORMATION LEAKAGE</t>
  </si>
  <si>
    <t>RISK MANAGEMENT STRATEGY</t>
  </si>
  <si>
    <t>PLAN OF ACTION AND MILESTONES PROCESS</t>
  </si>
  <si>
    <t>CRITICAL INFRASTRUCTURE PLAN</t>
  </si>
  <si>
    <t>INSIDER THREAT PROGRAM</t>
  </si>
  <si>
    <t>SECURITY ATTRIBUTES</t>
  </si>
  <si>
    <t>MISSION/BUSINESS PROCESS DEFINITION</t>
  </si>
  <si>
    <t>CRITICALITY ANALYSIS</t>
  </si>
  <si>
    <t>INFORMATION SECURITY PROGRAM PLAN</t>
  </si>
  <si>
    <t>INFORMATION SECURITY MEASURES OF PERFORMANCE</t>
  </si>
  <si>
    <t>TESTING, TRAINING, AND MONITORING</t>
  </si>
  <si>
    <t>THREAT AWARENESS PROGRAM</t>
  </si>
  <si>
    <t>ASSET MANAGEMENT AND TRACKING</t>
  </si>
  <si>
    <t>INFORMATION SECURITY WORKFORCE</t>
  </si>
  <si>
    <t>CONTACTS WITH SECURITY GROUPS AND ASSOCIATIONS</t>
  </si>
  <si>
    <t>NON_REPUDIATION</t>
  </si>
  <si>
    <t>SUPPLY CHAIN PROTECTION</t>
  </si>
  <si>
    <t>DEVELOPMENT PROCESS STANDARDS AND TOOLS</t>
  </si>
  <si>
    <t>DEVELOPER SECURITY ARCHITECTURE AND DESIGN</t>
  </si>
  <si>
    <t>SERVICE IDENTIFICATION AND AUTHENTICATION</t>
  </si>
  <si>
    <t>LOCATION OF INFORMATION SYSTEM COMPONENTS</t>
  </si>
  <si>
    <t>COVERT CHANNEL ANALYSIS</t>
  </si>
  <si>
    <t>RE-AUTHENTICATION</t>
  </si>
  <si>
    <t>PENTRATION TESTING</t>
  </si>
  <si>
    <t>ADAPTIVE IDENTIFICATION AND AUTHENTICATION</t>
  </si>
  <si>
    <t>MOT-18</t>
  </si>
  <si>
    <t>MOT-19</t>
  </si>
  <si>
    <t>MOT-04</t>
  </si>
  <si>
    <t>MOT-05</t>
  </si>
  <si>
    <t>MOT-02</t>
  </si>
  <si>
    <t>MOT-03</t>
  </si>
  <si>
    <t>MOT-01</t>
  </si>
  <si>
    <t>MOT-12</t>
  </si>
  <si>
    <t>MOT-13</t>
  </si>
  <si>
    <t>MOT-14</t>
  </si>
  <si>
    <t>MOT-15</t>
  </si>
  <si>
    <t>MOT-16</t>
  </si>
  <si>
    <t>MOT-09</t>
  </si>
  <si>
    <t>MOT-10</t>
  </si>
  <si>
    <t>MOT-11</t>
  </si>
  <si>
    <t>MOT-06</t>
  </si>
  <si>
    <t>MOT-20</t>
  </si>
  <si>
    <t>MOT-21</t>
  </si>
  <si>
    <t>MOT-23</t>
  </si>
  <si>
    <t>MOT-25</t>
  </si>
  <si>
    <t>MOT-26</t>
  </si>
  <si>
    <t>MOT-32</t>
  </si>
  <si>
    <t>MOT-31</t>
  </si>
  <si>
    <t>MOT-33</t>
  </si>
  <si>
    <t>MOT-34</t>
  </si>
  <si>
    <t>MOT-35</t>
  </si>
  <si>
    <t>MOT-36</t>
  </si>
  <si>
    <t>MOT-37</t>
  </si>
  <si>
    <t>MOT-38</t>
  </si>
  <si>
    <t>MOT-39</t>
  </si>
  <si>
    <t>MOT-40</t>
  </si>
  <si>
    <t>MOT-41</t>
  </si>
  <si>
    <t>MOT-42</t>
  </si>
  <si>
    <t>MOT-43</t>
  </si>
  <si>
    <t>MOT-44</t>
  </si>
  <si>
    <t>MOT-45</t>
  </si>
  <si>
    <t>MOT-46</t>
  </si>
  <si>
    <t>MOT-47</t>
  </si>
  <si>
    <t>MOT-48</t>
  </si>
  <si>
    <t>MOT-49</t>
  </si>
  <si>
    <t>MOT-52</t>
  </si>
  <si>
    <t>MOT-54</t>
  </si>
  <si>
    <t>MOT-58</t>
  </si>
  <si>
    <t>MOT-59</t>
  </si>
  <si>
    <t>MOT-60</t>
  </si>
  <si>
    <t>MOT-61</t>
  </si>
  <si>
    <t>MOT-62</t>
  </si>
  <si>
    <t>MOT-63</t>
  </si>
  <si>
    <t>MOT-65</t>
  </si>
  <si>
    <t>MOT-66</t>
  </si>
  <si>
    <t>MOT-67</t>
  </si>
  <si>
    <t>MOT-69</t>
  </si>
  <si>
    <t>MOT-70</t>
  </si>
  <si>
    <t>MOT-71</t>
  </si>
  <si>
    <t>MOT-73</t>
  </si>
  <si>
    <t>MOT-74</t>
  </si>
  <si>
    <t>MOT-75</t>
  </si>
  <si>
    <t>MOT-76</t>
  </si>
  <si>
    <t>MOT-78</t>
  </si>
  <si>
    <t>MOT-79</t>
  </si>
  <si>
    <t>MOT-80</t>
  </si>
  <si>
    <t>MOT-81</t>
  </si>
  <si>
    <t>(1) (2) (5) (9) (10)</t>
  </si>
  <si>
    <t>(2)</t>
  </si>
  <si>
    <t xml:space="preserve">(1) (2) (3) (8) (11) (12) </t>
  </si>
  <si>
    <t>(1)</t>
  </si>
  <si>
    <t>(4)</t>
  </si>
  <si>
    <t>IRS Test ID or NIST Moderate Control Enhancement Number</t>
  </si>
  <si>
    <t>(3)</t>
  </si>
  <si>
    <t xml:space="preserve"> (1) (7)</t>
  </si>
  <si>
    <t xml:space="preserve">SI-2(2)
FLAW REMEDIATION | AUTOMATED FLAW REMEDIATION STATUS
The organization employs automated mechanisms [Assignment: organization-defined frequency] to determine the state of information system components with regard to flaw remediation. 
Related to: CM-6, SI-4 </t>
  </si>
  <si>
    <t>IR-6(1)
INCIDENT REPORTING | AUTOMATED REPORTING
The organization employs automated mechanisms to assist in the reporting of security incidents. 
Related to: IR-7</t>
  </si>
  <si>
    <t>Relieved assets are properly sanitized or destroyed prior to release.</t>
  </si>
  <si>
    <t>Special privileged attributes granting heightened system privileges or advanced access to files / resources, are restricted to personnel in a manner consistent with their assigned tasks.</t>
  </si>
  <si>
    <t>Devices are required to authenticate before connection to the system is allowed.</t>
  </si>
  <si>
    <t>The information system obscures feedback of authentication information during the authentication process to protect the information from possible exploitation/use by unauthorized individuals.</t>
  </si>
  <si>
    <t xml:space="preserve">The information system implements [Assignment: organization-defined cryptographic uses and type of cryptography required for each use] in accordance with applicable federal laws, Executive Orders, directives, policies, regulations, and standards. </t>
  </si>
  <si>
    <t xml:space="preserve">The organization restricts access to [Assignment: organization-defined types of digital and/or non-digital media] to [Assignment: organization-defined personnel or roles]. </t>
  </si>
  <si>
    <t>CLD-10</t>
  </si>
  <si>
    <t>CLD-07</t>
  </si>
  <si>
    <t xml:space="preserve">The organization conducts penetration testing [Assignment: organization-defined frequency] on [Assignment: organization-defined information systems or system components]. </t>
  </si>
  <si>
    <t>MOT-85</t>
  </si>
  <si>
    <t xml:space="preserve">The organization requires users and devices to re-authenticate when [Assignment: organization-defined circumstances or situations requiring re-authentication]. </t>
  </si>
  <si>
    <t>The organization controls physical access to information system output devices to prevent unauthorized individuals from obtaining the output.</t>
  </si>
  <si>
    <t>GEN-52</t>
  </si>
  <si>
    <t xml:space="preserve">The organization requires that individuals accessing the information system employ [Assignment: organization-defined supplemental authentication techniques or mechanisms] under specific [Assignment: organization-defined circumstances or situations]. </t>
  </si>
  <si>
    <t>GEN-18</t>
  </si>
  <si>
    <t>GEN-39</t>
  </si>
  <si>
    <t>GEN-51</t>
  </si>
  <si>
    <t xml:space="preserve">The organization protects against supply chain threats to the information system, system component, or information system service by employing [Assignment: organization-defined security safeguards] as part of a comprehensive, defense-in-breadth information security strategy. </t>
  </si>
  <si>
    <t>GEN-32</t>
  </si>
  <si>
    <t>GEN-33</t>
  </si>
  <si>
    <t>GEN-28</t>
  </si>
  <si>
    <t>Auditing is implemented.</t>
  </si>
  <si>
    <t xml:space="preserve">The organization identifies and authenticates [Assignment: organization-defined information system services] using [Assignment: organization-defined security safeguards]. </t>
  </si>
  <si>
    <t xml:space="preserve">The information system protects against an individual (or process acting on behalf of an individual) falsely denying having performed [Assignment: organization-defined actions to be covered by non-repudiation]. </t>
  </si>
  <si>
    <t>MOT-07</t>
  </si>
  <si>
    <t>The organization identifies critical information system components and functions by performing a criticality analysis for [Assignment: organization-defined information systems, information system components, or information system services] at [Assignment: organization-defined decision points in the system development life cycle].</t>
  </si>
  <si>
    <t xml:space="preserve">The organization develops, monitors, and reports on the results of information security measures of performance. </t>
  </si>
  <si>
    <t xml:space="preserve">The organization implements a threat awareness program that includes a cross-organization information-sharing capability. </t>
  </si>
  <si>
    <t xml:space="preserve">The organization establishes an information security workforce development and improvement program. </t>
  </si>
  <si>
    <t xml:space="preserve">The organization protects the information system from information leakage due to electromagnetic signals emanations. </t>
  </si>
  <si>
    <t xml:space="preserve">The organization addresses information security issues in the development, documentation, and updating of a critical infrastructure and key resources protection plan. </t>
  </si>
  <si>
    <t xml:space="preserve">The organization implements an insider threat program that includes a cross-discipline insider threat incident handling team. </t>
  </si>
  <si>
    <t xml:space="preserve">The information system protects against or limits the effects of the following types of denial of service attacks: [Assignment: organization-defined types of denial of service attacks or references to sources for such information] by employing [Assignment: organization-defined security safeguards]. </t>
  </si>
  <si>
    <t>GEN-26</t>
  </si>
  <si>
    <t>GEN-54</t>
  </si>
  <si>
    <t>Services that allow interaction without authentication or via anonymous authentication are documented, justified to the Information Assurance Offices (IAO), and are properly secured and segregated from other systems that contain services that explicitly require authentication and identity verification.</t>
  </si>
  <si>
    <t>1. The organization designs and implements new information systems using security engineering principles.  Example principles include, but are not limited to:
- Developing layered protections
- Establishing sound security policy, architecture and controls.
- Incorporating security requirements into the SDLC.
For legacy information systems, the organization applies security engineering principles to system upgrades and modifications, to the extent feasible, given the current state of the hardware, software and firmware components within the system.</t>
  </si>
  <si>
    <t>1. The organization conducts a security impact analysis using the procedures that are in place that describe the process for analyzing changes to the information system to determine potential security impacts prior to change implementation.</t>
  </si>
  <si>
    <t>1. An access control policy is documented and addresses:
(b) scope</t>
  </si>
  <si>
    <t>1. An access control policy is documented and addresses: 
(c) roles and responsibilities</t>
  </si>
  <si>
    <t>1. An access control policy is documented and addresses: 
(d) management commitment</t>
  </si>
  <si>
    <t>1. An access control policy is documented and addresses: 
(e)coordination among organization entities</t>
  </si>
  <si>
    <t>1. An access control policy is documented and addresses: 
(f) compliance.</t>
  </si>
  <si>
    <t>3. The policy and procedures are disseminated to designated organization officials; reviewed and updated:
  a. Every 3 years for the policy.</t>
  </si>
  <si>
    <t>3. The policy and procedures are disseminated to designated organization officials; reviewed and updated:
  b. Every 1 year for the procedures.</t>
  </si>
  <si>
    <t>1. An access control policy is documented and addresses: 
  a. purpose</t>
  </si>
  <si>
    <t>2. Procedures: 
  a. are documented and in place to implement the access control policy</t>
  </si>
  <si>
    <t xml:space="preserve">2. Remote access is authorized prior to allowing such connections.
</t>
  </si>
  <si>
    <t xml:space="preserve">3. Privileged command execution is authorized for compelling operational needs only
</t>
  </si>
  <si>
    <t xml:space="preserve">1. The organization establishes and documents:
  a. usage restrictions
</t>
  </si>
  <si>
    <t xml:space="preserve">1. The organization establishes and documents:
  b. configuration/connection requirements
</t>
  </si>
  <si>
    <t xml:space="preserve">1. The organization establishes and documents:
  c. implementation guidance for remote access.
</t>
  </si>
  <si>
    <t xml:space="preserve">2. The organization routes all remote accesses through a limited number of managed network access control points. 
</t>
  </si>
  <si>
    <t xml:space="preserve">2. The multi-factor authentication mechanism is sufficient and implemented for all remote access.
</t>
  </si>
  <si>
    <t>1. The organization has a wireless access policy and procedures documented to address the following:
a. Usage restrictions, configuration/ connection requirements, and implementation guidance; and</t>
  </si>
  <si>
    <t>1. The organization has a wireless access policy and procedures documented to address the following:
c. Wireless access is protected using authentication and encryption.</t>
  </si>
  <si>
    <t>1. The rules of behavior establish a set of rules that describe user responsibilities and expected behavior with regard to information system usage.</t>
  </si>
  <si>
    <t>2. The user is aware of the rules of behavior, and the document is readily available to them.</t>
  </si>
  <si>
    <t>3.  The rules of behavior form is signed, indicating acknowledgement from the user that they have read, understand, and agree to abide by the rules of behavior.</t>
  </si>
  <si>
    <t>4. The organization reviews and updates the rules of behavior as needed.</t>
  </si>
  <si>
    <t>1. The organization employs, and regularly updates, malicious code protection mechanisms at entry and exit points.</t>
  </si>
  <si>
    <t>2. A process is established and implemented for updating malicious code protection mechanisms (e.g. signature definitions) when made available.</t>
  </si>
  <si>
    <t>3. Organization information systems: - block or quarantine malicious content</t>
  </si>
  <si>
    <t>3. Organization information systems: - notify administrators of malicious content detection</t>
  </si>
  <si>
    <t>4. Malicious code protection mechanisms are centrally managed and updated.</t>
  </si>
  <si>
    <t xml:space="preserve">Supplemental Guidance:  This control enhancement applies to organizations implementing logical access control systems (LACS) and physical access control systems (PACS). Personal Identity Verification (PIV) credentials are those credentials issued by federal organizations that conform to FIPS Publication 201 and supporting guidance documents. OMB Memorandum 11-11 requires federal organizations to continue implementing the requirements specified in HSPD-12 to enable organization-wide use of PIV credentials. Related to: AU-2, PE-3, SA-4  </t>
  </si>
  <si>
    <t xml:space="preserve">Supplemental Guidance:  For remote access to privileged/non-privileged accounts, the purpose of requiring a device that is separate from the information system gaining access for one of the factors during multifactor authentication is to reduce the likelihood of compromising authentication credentials stored on the system. For example, adversaries deploying malicious code on organizational information systems can potentially compromise such credentials resident on the system and subsequently impersonate authorized users. Related to: AC-6 </t>
  </si>
  <si>
    <t xml:space="preserve">IA-2(11) - IDENTIFICATION AND AUTHENTICATION (ORGANIZATIONAL USERS) | REMOTE ACCESS - SEPARATE DEVICE: The information system implements multifactor authentication for remote access to privileged and non-privileged accounts such that one of the factors is provided by a device separate from the system gaining access and the device meets [Assignment: organization-defined strength of mechanism requirements]. </t>
  </si>
  <si>
    <t xml:space="preserve">Supplemental Guidance:  Authentication processes resist replay attacks if it is impractical to achieve successful authentications by replaying previous authentication messages. Replay-resistant techniques include, for example, protocols that use nonces or challenges such as Transport Layer Security (TLS) and time synchronous or challenge-response one-time authenticators. </t>
  </si>
  <si>
    <t xml:space="preserve">IA-2(8) - IDENTIFICATION AND AUTHENTICATION (ORGANIZATIONAL USERS) | NETWORK ACCESS TO PRIVILEGED ACCOUNTS - REPLAY RESISTANT: The information system implements replay-resistant authentication mechanisms for network access to privileged accounts. </t>
  </si>
  <si>
    <t xml:space="preserve">IA-2(3) - IDENTIFICATION AND AUTHENTICATION (ORGANIZATIONAL USERS) | LOCAL ACCESS TO PRIVILEGED ACCOUNTS: The information system implements multifactor authentication for local access to privileged accounts. 
Related to: (AC-6) 
</t>
  </si>
  <si>
    <t xml:space="preserve">IA-2(2) - IDENTIFICATION AND AUTHENTICATION (ORGANIZATIONAL USERS) | NETWORK ACCESS TO NON-PRIVILEGED ACCOUNTS: The information system implements multifactor authentication for network access to non-privileged accounts. </t>
  </si>
  <si>
    <t>IA-2(1) - IDENTIFICATION AND AUTHENTICATION (ORGANIZATIONAL USERS) | NETWORK ACCESS TO PRIVILEGED ACCOUNTS: The information system implements multifactor authentication for network access to privileged accounts. (Related to: AC-6)</t>
  </si>
  <si>
    <t xml:space="preserve">The organization: 
a. Categorizes information and the information system in accordance with applicable federal laws, Executive Orders, directives, policies, regulations, standards, and guidance; </t>
  </si>
  <si>
    <t xml:space="preserve">The organization: 
b. Documents the security categorization results (including supporting rationale) in the security plan for the information system; and </t>
  </si>
  <si>
    <t xml:space="preserve">The organization: 
c. Ensures that the authorizing official or authorizing official designated representative reviews and approves the security categorization decision. </t>
  </si>
  <si>
    <t>3. The risk assessment is updated at least every 3 years, or whenever there are significant changes to the information system or environment.</t>
  </si>
  <si>
    <t>4. Results are reviewed annually and are disseminated to designated organization officials.</t>
  </si>
  <si>
    <t>1. Vulnerability scanning is conducted at least monthly and when new vulnerabilities are identified.</t>
  </si>
  <si>
    <t>2. The organization updates the product vulnerability dictionary and the current release is within 2 deviations of the release offered by the vendor.</t>
  </si>
  <si>
    <t>3. Scan reports and results are reviewed by designated organization officials.</t>
  </si>
  <si>
    <t>4. Actions are taken to remediate deficiencies identified from scan results.</t>
  </si>
  <si>
    <t>5. Results are shared with other stakeholders to eliminate similar vulnerabilities in other information systems.</t>
  </si>
  <si>
    <t>1. Network infrastructure is configured to monitor and control communications at the external and key internal boundaries.</t>
  </si>
  <si>
    <t>3. Managed interfaces control network ingress and egress traffic.</t>
  </si>
  <si>
    <t xml:space="preserve">1. The organization monitors and detects events on the information system in accordance with organization defined monitoring objectives. </t>
  </si>
  <si>
    <t>3. Network design documentation depicts the placement of monitoring devices at strategic (e.g. perimeter devices) and ad-hoc locations.</t>
  </si>
  <si>
    <t>Procedures are documented which ensure the organization:
- receives security alerts, advisories, and directives from designated external organizations on an ongoing basis;</t>
  </si>
  <si>
    <t>Procedures are documented which ensure the organization:
- establishes a process for generating internal security alerts, advisories, and directives as deemed necessary.</t>
  </si>
  <si>
    <t xml:space="preserve">Procedures are documented which ensure the organization:
- disseminates security alerts, advisories, and directives to key organization personnel. </t>
  </si>
  <si>
    <t>Procedures are documented which ensure the organization:
- implements security directives in accordance with established time frames, or notifying the issuing organization of the degree of noncompliance.</t>
  </si>
  <si>
    <t xml:space="preserve">AC-6(10) - LEAST PRIVILEGE | PROHIBIT NON-PRIVILEGED USERS FROM EXECUTING PRIVILEGED FUNCTIONS: The information system prevents non-privileged users from executing privileged functions to include disabling, circumventing, or altering implemented security safeguards/countermeasures. </t>
  </si>
  <si>
    <t xml:space="preserve">Supplemental Guidance:  Privileged functions include, for example, establishing information system accounts, performing system integrity checks, or administering cryptographic key management activities. Non-privileged users are individuals that do not possess appropriate authorizations. Circumventing intrusion detection and prevention mechanisms or malicious code protection mechanisms are examples of privileged functions that require protection from non-privileged users.
</t>
  </si>
  <si>
    <t xml:space="preserve">AC-6(9) - LEAST PRIVILEGE | AUDITING USE OF PRIVILEGED FUNCTIONS: The information system audits the execution of privileged functions. 
</t>
  </si>
  <si>
    <t>Supplemental Guidance:  Misuse of privileged functions, either intentionally or unintentionally by authorized users, or by unauthorized external entities that have compromised information system accounts, is a serious and ongoing concern and can have significant adverse impacts on organizations. Auditing the use of privileged functions is one way to detect such misuse, and in doing so, help mitigate the risk from insider threats and the advanced persistent threat (APT). Related to: AU-2</t>
  </si>
  <si>
    <t xml:space="preserve">Supplemental Guidance:  Privileged accounts, including super user accounts, are typically described as system administrator for various types of commercial off-the-shelf operating systems. Restricting privileged accounts to specific personnel or roles prevents day-to-day users from having access to privileged information/functions. Organizations may differentiate in the application of this control enhancement between allowed privileges for local accounts and for domain accounts provided organizations retain the ability to control information system configurations for key security parameters and as otherwise necessary to sufficiently mitigate risk. Related to: CM-6 </t>
  </si>
  <si>
    <t xml:space="preserve">Supplemental Guidance:  This control enhancement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both the user and all processes acting on behalf of the user as would be provided by a change between a privileged and non-privileged account. Related to: PL-4 </t>
  </si>
  <si>
    <t xml:space="preserve">AC-6(1) - LEAST PRIVILEGE | AUTHORIZE ACCESS TO SECURITY FUNCTIONS: The organization explicitly authorizes access to [Assignment: organization-defined security functions (deployed in hardware, software, and firmware) and security-relevant information]. 
</t>
  </si>
  <si>
    <t>Supplemental Guidance:  Security functions include, for example, establishing system accounts, configuring access authorizations (i.e., permissions, privileges), setting events to be audited, and setting intrusion detection parameters. Security-relevant information includes, for example, filtering rules for routers/firewalls, cryptographic key management information, configuration parameters for security services, and access control lists. Explicitly authorized personnel include, for example, security administrators, system and network administrators, system security officers, system maintenance personnel, system programmers, and other privileged users. Related to: AC-17, AC-18, AC-19</t>
  </si>
  <si>
    <t xml:space="preserve">AT-2(2)
SECURITY AWARENESS TRAINING | INSIDER THREAT
The organization includes security awareness training on recognizing and reporting potential indicators of insider threat. </t>
  </si>
  <si>
    <t xml:space="preserve">Supplemental Guidance:  Potential indicators and possible precursors of insider threat can include behaviors such as inordinate, long-term job dissatisfaction, attempts to gain access to information not required for job performance, unexplained access to financial resources, bullying or sexual harassment of fellow employees, workplace violence, and other serious violations of organizational policies, procedures, directives, rules, or practices. Security awareness training includes how to communicate employee and management concerns regarding potential indicators of insider threat through appropriate organizational channels in accordance with established organizational policies and procedures. Related to: PL-4, PM-12, PS-3, PS-6 </t>
  </si>
  <si>
    <t xml:space="preserve">The organization: 
a. Enforces physical access authorizations at [Assignment: organization-defined entry/exit points to the facility where the information system resides] by; 
1. Verifying individual access authorizations before granting access to the facility; and </t>
  </si>
  <si>
    <t xml:space="preserve">The organization: 
a. Enforces physical access authorizations at [Assignment: organization-defined entry/exit points to the facility where the information system resides] by; 
2. Controlling ingress/egress to the facility using [Selection (one or more): [Assignment: organization-defined physical access control systems/devices]; guards]; 
</t>
  </si>
  <si>
    <t xml:space="preserve">The organization:
b. Maintains physical access audit logs for [Assignment: organization-defined entry/exit points]; </t>
  </si>
  <si>
    <t xml:space="preserve">The organization:
c. Provides [Assignment: organization-defined security safeguards] to control access to areas within the facility officially designated as publicly accessible; </t>
  </si>
  <si>
    <t xml:space="preserve">The organization:
d. Escorts visitors and monitors visitor activity [Assignment: organization-defined circumstances requiring visitor escorts and monitoring]; 
</t>
  </si>
  <si>
    <t xml:space="preserve">The organization:
e. Secures keys, combinations, and other physical access devices; 
</t>
  </si>
  <si>
    <t xml:space="preserve">The organization:
f. Inventories [Assignment: organization-defined physical access devices] every [Assignment: organization-defined frequency]; and 
</t>
  </si>
  <si>
    <t xml:space="preserve">The organization:
g. Changes combinations and keys [Assignment: organization-defined frequency] and/or when keys are lost, combinations are compromised, or individuals are transferred or terminated.
</t>
  </si>
  <si>
    <t>3. If encryption is not used to transmit data over the network, the organization implements a vLAN to segregate network traffic.  Alternatively, fiber optic cabling or physical security safeguards such as protected distribution systems are implemented.</t>
  </si>
  <si>
    <t>The organization: 
b. Documents, for each internal connection, the interface characteristics, security requirements, and the nature of the information communicated.</t>
  </si>
  <si>
    <t>The organization: 
a. Authorizes internal connections of [Assignment: organization-defined information system components or classes of components] to the information system;</t>
  </si>
  <si>
    <t>4. Appropriate steps are taken by the organization to protect the confidentiality of the SSR from unauthorized disclosure and modification.</t>
  </si>
  <si>
    <t>The organization: 
c. Reviews and updates position risk designations [Assignment: organization-defined frequency].</t>
  </si>
  <si>
    <t xml:space="preserve">The organization: 
b. Establishes screening criteria for individuals filling those positions; and </t>
  </si>
  <si>
    <t xml:space="preserve">The organization: 
a. Assigns a risk designation to all organizational positions; </t>
  </si>
  <si>
    <t xml:space="preserve">The organization: 
a. Reviews and confirms ongoing operational need for current logical and physical access authorizations to information systems/facilities when individuals are reassigned or transferred to other positions within the organization; </t>
  </si>
  <si>
    <t xml:space="preserve">The organization: 
b. Initiates [Assignment: organization-defined transfer or reassignment actions] within [Assignment: organization-defined time period following the formal transfer action]; </t>
  </si>
  <si>
    <t xml:space="preserve">The organization: 
c. Modifies access authorization as needed to correspond with any changes in operational need due to reassignment or transfer; and </t>
  </si>
  <si>
    <t xml:space="preserve">The organization: 
d. Notifies [Assignment: organization-defined personnel or roles] within [Assignment: organization-defined time period]. </t>
  </si>
  <si>
    <t>2. The IR Plan is:
a. Distributed to authorized personnel;</t>
  </si>
  <si>
    <t>2. The IR Plan is:
b. Reviewed annually;</t>
  </si>
  <si>
    <t>2. The IR Plan is:
d. Updated as a result of lessons learned or an after action report.</t>
  </si>
  <si>
    <t>2. The IR Plan is:
f. Protected unauthorized disclosure and modification.</t>
  </si>
  <si>
    <t>2. The Incident Response (IR) plan addresses the following:
h. Is reviewed and approved by designated organization officials;</t>
  </si>
  <si>
    <t>2. The Incident Response (IR) plan addresses the following:
g. Defines resources and management needs</t>
  </si>
  <si>
    <t>2. The Incident Response (IR) plan addresses the following:
f. Provides metrics for measuring IR capability;</t>
  </si>
  <si>
    <t>2. The Incident Response (IR) plan addresses the following:
d. Addresses mission, size, structure, and functions;</t>
  </si>
  <si>
    <t>2. The Incident Response (IR) plan addresses the following:
c. Integrates with overall organization IR approach.</t>
  </si>
  <si>
    <t>2. The Incident Response (IR) plan addresses the following:
b. Describes the structure of the IR capability;</t>
  </si>
  <si>
    <t>2. The Incident Response (IR) plan addresses the following:
a. Provides a roadmap for implementing its IR capability;</t>
  </si>
  <si>
    <t xml:space="preserve">1. The Incident Reponses Plan has been documented and implemented.
</t>
  </si>
  <si>
    <t xml:space="preserve">The organization: 
b. Protects information system media until the media are destroyed or sanitized using approved equipment, techniques, and procedures. </t>
  </si>
  <si>
    <t xml:space="preserve">The organization: 
a. Physically controls and securely stores [Assignment: organization-defined types of digital and/or non-digital media] within [Assignment: organization-defined controlled areas]; and </t>
  </si>
  <si>
    <t>Mobile code and mobile code technology usage restrictions are documented in organization policy and defines the following:
a. acceptable/unacceptable mobile code and mobile code technologies;</t>
  </si>
  <si>
    <t>Mobile code and mobile code technology usage restrictions are documented in organization policy and defines the following:
b. usage restrictions and implementation guidance for acceptable mobile code and mobile code technologies; and</t>
  </si>
  <si>
    <t>Mobile code and mobile code technology usage restrictions are documented in organization policy and defines the following:
c. Authorizes, monitors, and controls the use of mobile code within the information system.</t>
  </si>
  <si>
    <t xml:space="preserve">1. The scope of the assessment is described in the security assessment plan and includes content as described in the Test Procedures.
See CA-1 for SA&amp;A requirements.
</t>
  </si>
  <si>
    <t xml:space="preserve">2. Current and previous security control assessment report document dates conclude that the activity is performed annually.
See CA-1 for SA&amp;A requirements.
</t>
  </si>
  <si>
    <t xml:space="preserve">3. Designated organization officials and the Authorizing Official are provided the results and report.
See CA-1 for SA&amp;A requirements.
</t>
  </si>
  <si>
    <t>2. The organization has a formal approval process for granting individuals the authority to perform system changes.  The organization has logical security controls in place to enforce the access list.</t>
  </si>
  <si>
    <t>1. The inventory accurately reflects the current system environment and provides detailed information for tracking, reporting and ownership/accountability.</t>
  </si>
  <si>
    <t>2. The inventory is updated periodically and as a part of installations, removals and upgrades.</t>
  </si>
  <si>
    <t>The organization: 
b. Rescreens individuals according to [Assignment: organization-defined conditions requiring rescreening and, where rescreening is so indicated, the frequency of such rescreening].</t>
  </si>
  <si>
    <t xml:space="preserve">The organization: 
a. Screens individuals prior to authorizing access to the information system; and </t>
  </si>
  <si>
    <t xml:space="preserve">MP-5(4)
MEDIA TRANSPORT | CRYPTOGRAPHIC PROTECTION
The information system implements cryptographic mechanisms to protect the confidentiality and integrity of information stored on digital media during transport outside of controlled areas. 
</t>
  </si>
  <si>
    <t xml:space="preserve">Supplemental Guidance:  This control enhancement applies to both portable storage devices (e.g., USB memory sticks, compact disks, digital video disks, external/removable hard disk drives) and mobile devices with storage capability (e.g., smart phones, tablets, E-readers). Related to: MP-2 </t>
  </si>
  <si>
    <t xml:space="preserve">MP-7(1)
MEDIA USE | PROHIBIT USE WITHOUT OWNER
The organization prohibits the use of portable storage devices in organizational information systems when such devices have no identifiable owner. 
</t>
  </si>
  <si>
    <t xml:space="preserve">Supplemental Guidance:  Requiring identifiable owners (e.g., individuals, organizations, or projects) for portable storage devices reduces the risk of using such technologies by allowing organizations to assign responsibility and accountability for addressing known vulnerabilities in the devices (e.g., malicious code insertion). Related to: PL-4  </t>
  </si>
  <si>
    <t xml:space="preserve">The organization: 
d. Removes individuals from the facility access list when access is no longer required. </t>
  </si>
  <si>
    <t xml:space="preserve">The organization: 
c. Reviews the access list detailing authorized facility access by individuals [Assignment: organization-defined frequency]; and </t>
  </si>
  <si>
    <t xml:space="preserve">The organization: 
b. Issues authorization credentials for facility access; </t>
  </si>
  <si>
    <t xml:space="preserve">The organization: 
a. Develops, approves, and maintains a list of individuals with authorized access to the facility where the information system resides; </t>
  </si>
  <si>
    <t>2. Only essential capabilities and prohibitions are defined as stated in Step 1.</t>
  </si>
  <si>
    <t>1. Information systems are configured to provide only essential capabilities and specifically prohibits or restricts the use of functions, ports, protocols, and/or services considered non-secure or unnecessary (in alignment with Office of Safeguards compliance requirements).</t>
  </si>
  <si>
    <t>1. The authenticator management procedures describe the following requirements:
a. Verification of the individual, group, role or device identity prior to initial authenticator distribution.</t>
  </si>
  <si>
    <t>1. The authenticator management procedures describe the following requirements:
b. Defining one-time-use authenticator for first logon.</t>
  </si>
  <si>
    <t>1. The authenticator management procedures describe the following requirements:
c. Ensuring that authenticators have sufficient strength.</t>
  </si>
  <si>
    <t>1. The authenticator management procedures describe the following requirements:
e. Changing default authenticators prior to information system installation;</t>
  </si>
  <si>
    <t>1. The authenticator management procedures describe the following requirements:
f. Establishing minimum and maximum lifetime restrictions and reuse conditions for authenticators;</t>
  </si>
  <si>
    <t>1. The authenticator management procedures describe the following requirements:
d. Defining procedures for initial authenticator distribution,  lost/compromised or damaged</t>
  </si>
  <si>
    <t>1. The authenticator management procedures describe the following requirements:
g. Changing/refreshing authenticators;</t>
  </si>
  <si>
    <t>1. The authenticator management procedures describe the following requirements:
h. Protecting authenticator content from unauthorized disclosure and modification;</t>
  </si>
  <si>
    <t>1. The authenticator management procedures describe the following requirements:
i. Requiring individuals to take, and having devices implement, specific security safeguards to protect authenticators; and</t>
  </si>
  <si>
    <t>1. The authenticator management procedures describe the following requirements:
j. Changing authenticators for group/role accounts when membership to those accounts changes.</t>
  </si>
  <si>
    <t xml:space="preserve">1. If non-organization personnel have access the organization must ensure that:
a. the system uniquely identifies and authenticates non-organization users (or processes acting on behalf of non-organization users).
</t>
  </si>
  <si>
    <t>Maintenance policy and procedures document the following standards:
e. Checks and corrects all potentially impacted security controls.</t>
  </si>
  <si>
    <t>Maintenance policy and procedures document the following standards:
c. Removal of information system components must be explicitly authorized by organization management.</t>
  </si>
  <si>
    <t>Maintenance policy and procedures document the following standards:
b. Maintenance activities (local or remote) are recorded and approved by organization management.</t>
  </si>
  <si>
    <t>Maintenance policy and procedures document the following standards:
a. System maintenance is scheduled, performed and documented, according to vendor specifications;</t>
  </si>
  <si>
    <t>The organization: 
b. Employs [Assignment: organization-defined automated mechanisms or manual processes] to assist users in making information sharing/collaboration decisions.</t>
  </si>
  <si>
    <t xml:space="preserve">The organization: 
a. Facilitates information sharing by enabling authorized users to determine whether access authorizations assigned to the sharing partner match the access restrictions on the information for [Assignment: organization-defined information sharing circumstances where user discretion is required]; and </t>
  </si>
  <si>
    <t>AU-8 (1)(a) 
TIME STAMPS | SYNCHRONIZATION WITH AUTHORITATIVE TIME SOURCE
The information system: Compares the internal information system clocks [Assignment: organization-defined frequency] with [Assignment: organization-defined authoritative time source]; and</t>
  </si>
  <si>
    <t xml:space="preserve">AU-8 (1)(b) 
TIME STAMPS | SYNCHRONIZATION WITH AUTHORITATIVE TIME SOURCE
The information system: Synchronizes the internal system clocks to the authoritative time source when the time difference is greater than [Assignment: organization-defined time period].
</t>
  </si>
  <si>
    <t xml:space="preserve">Supplemental Guidance:  This control enhancement provides uniformity of time stamps for information systems with multiple system clocks and systems connected over a network. </t>
  </si>
  <si>
    <t xml:space="preserve">AU-9(4)
PROTECTION OF AUDIT INFORMATION | ACCESS BY SUBSET OF PRIVILEGED USERS
The organization authorizes access to management of audit functionality to only [Assignment: organization-defined subset of privileged users]. 
</t>
  </si>
  <si>
    <t xml:space="preserve">Supplemental Guidance:  Individuals with privileged access to an information system and who are also the subject of an audit by that system, may affect the reliability of audit information by inhibiting audit activities or modifying audit records. This control enhancement requires that privileged access be further defined between audit-related privileges and other privileges, thus limiting the users with audit-related privileges. Related to: AC-5 </t>
  </si>
  <si>
    <t>4. The organization has a configuration control process to test and validate system changes before implementation into production.</t>
  </si>
  <si>
    <t>3. Configuration changes are reviewed and adjudicated by a configuration control board or other decision authority.</t>
  </si>
  <si>
    <t>2. Security impacts are factored into the configuration change control process.</t>
  </si>
  <si>
    <t xml:space="preserve">1. Configuration management procedures describe the process of controlling, approving, implementing and documenting configuration changes to the information system. </t>
  </si>
  <si>
    <t xml:space="preserve">The organization controls [Assignment: organization-defined types of information system components] entering and exiting the facility and maintains records of those items. </t>
  </si>
  <si>
    <t xml:space="preserve">The organization monitors [Assignment: organization-defined types of information system components] entering and exiting the facility and maintains records of those items. </t>
  </si>
  <si>
    <t xml:space="preserve">The organization authorizes [Assignment: organization-defined types of information system components] entering and exiting the facility and maintains records of those items. </t>
  </si>
  <si>
    <t xml:space="preserve">The organization: 
a. Develops an information security architecture for the information system that: 
1. Describes the overall philosophy, requirements, and approach to be taken with regard to protecting the confidentiality, integrity, and availability of organizational information; </t>
  </si>
  <si>
    <t xml:space="preserve">The organization: 
a. Develops an information security architecture for the information system that: 
2. Describes how the information security architecture is integrated into and supports the enterprise architecture; and </t>
  </si>
  <si>
    <t xml:space="preserve">The organization: 
a. Develops an information security architecture for the information system that: 
3. Describes any information security assumptions about, and dependencies on, external services; </t>
  </si>
  <si>
    <t xml:space="preserve">The organization: 
b. Reviews and updates the information security architecture [Assignment: organization-defined frequency] to reflect updates in the enterprise architecture; and </t>
  </si>
  <si>
    <t>The organization: 
c. Ensures that planned information security architecture changes are reflected in the security plan, the security Concept of Operations (CONOPS), and organizational procurements/acquisitions.</t>
  </si>
  <si>
    <t>2. The organization has a formal approval process for granting individuals the authority to perform system maintenance.  The organization has logical security controls in place to enforce the access list.</t>
  </si>
  <si>
    <t>Supplemental Guidance:  Over time, the events that organizations believe should be audited may change. Reviewing and updating the set of audited events periodically is necessary to ensure that the current set is still necessary and sufficient.</t>
  </si>
  <si>
    <t xml:space="preserve">AU-2(3)
AUDIT EVENTS | REVIEWS AND UPDATES
The organization reviews and updates the audited events [Assignment: organization-defined frequency]. </t>
  </si>
  <si>
    <t xml:space="preserve">AU-3(1)
CONTENT OF AUDIT RECORDS | ADDITIONAL AUDIT INFORMATION
The information system generates audit records containing the following additional information: [Assignment: organization-defined additional, more detailed information]. 
</t>
  </si>
  <si>
    <t xml:space="preserve">Supplemental Guidance:  Detailed information that organizations may consider in audit records includes, for example, full text recording of privileged commands or the individual identities of group account users. Organizations consider limiting the additional audit information to only that information explicitly needed for specific audit requirements. This facilitates the use of audit trails and audit logs by not including information that could potentially be misleading or could make it more difficult to locate information of interest. </t>
  </si>
  <si>
    <t>PS-9</t>
  </si>
  <si>
    <t>The organization: 
e. Monitors provider compliance.</t>
  </si>
  <si>
    <t xml:space="preserve">The organization: 
d. Requires third-party providers to notify [Assignment: organization-defined personnel or roles] of any personnel transfers or terminations of third-party personnel who possess organizational credentials and/or badges, or who have information system privileges within [Assignment: organization-defined time period]; and </t>
  </si>
  <si>
    <t xml:space="preserve">The organization: 
c. Documents personnel security requirements; </t>
  </si>
  <si>
    <t xml:space="preserve">The organization: 
a. Establishes personnel security requirements including security roles and responsibilities for third-party providers; </t>
  </si>
  <si>
    <t xml:space="preserve">The organization: 
b. Requires third-party providers to comply with personnel security policies and procedures established by the organization; </t>
  </si>
  <si>
    <t>Information system service acquisition contracts include:
b. Roles and responsibilities are defined between the vendor and the organization.</t>
  </si>
  <si>
    <t>Information system service acquisition contracts include:
c. Monitoring of the vendor is required by the organization to validate compliance with security requirements.</t>
  </si>
  <si>
    <t>2. Configuration change control processes are followed and include descriptive documentation of the change and the approval flow process.</t>
  </si>
  <si>
    <t>1. Developers are implement configuration management procedures to manage control changes during the information system design, development, implementation, and operation phases.</t>
  </si>
  <si>
    <t xml:space="preserve">2. Security test and evaluation plan and results are available and document the test cases executed and results of each test.
</t>
  </si>
  <si>
    <t xml:space="preserve">1. The organization requires that information system developers (and systems integrators) create a security test and evaluation plan, implement the plan, and document the results for newly developed systems and modifications to existing systems that impact security controls.
</t>
  </si>
  <si>
    <t xml:space="preserve">The organization: 
a. Requires the developer of the information system, system component, or information system service to follow a documented development process that: 
1. Explicitly addresses security requirements; </t>
  </si>
  <si>
    <t xml:space="preserve">The organization: 
a. Requires the developer of the information system, system component, or information system service to follow a documented development process that: 
2. Identifies the standards and tools used in the development process; </t>
  </si>
  <si>
    <t xml:space="preserve">The organization: 
a. Requires the developer of the information system, system component, or information system service to follow a documented development process that: 
3. Documents the specific tool options and tool configurations used in the development process; and </t>
  </si>
  <si>
    <t xml:space="preserve">The organization: 
a. Requires the developer of the information system, system component, or information system service to follow a documented development process that: 
4. Documents, manages, and ensures the integrity of changes to the process and/or tools used in development; and </t>
  </si>
  <si>
    <t>The organization: 
b. Reviews the development process, standards, tools, and tool options/configurations [Assignment: organization-defined frequency] to determine if the process, standards, tools, and tool options/configurations selected and employed can satisfy [Assignment: organization-defined security requirements].</t>
  </si>
  <si>
    <t xml:space="preserve">The organization requires the developer of the information system, system component, or information system service to produce a design specification and security architecture that: 
a. Is consistent with and supportive of the organization's security architecture which is established within and is an integrated part of the organization's enterprise architecture; </t>
  </si>
  <si>
    <t xml:space="preserve">The organization requires the developer of the information system, system component, or information system service to produce a design specification and security architecture that: 
b. Accurately and completely describes the required security functionality, and the allocation of security controls among physical and logical components; and </t>
  </si>
  <si>
    <t xml:space="preserve">The organization requires the developer of the information system, system component, or information system service to produce a design specification and security architecture that: 
c. Expresses how individual security functions, mechanisms, and services work together to provide required security capabilities and a unified approach to protection. </t>
  </si>
  <si>
    <t>2. Interface characteristics, security requirements, and the nature of the information communicated are described in the ISA.
See CA-1 for SA&amp;A requirements.</t>
  </si>
  <si>
    <t>3. The ISA is re-evaluated on  annual basis.
See CA-1 for SA&amp;A requirements.</t>
  </si>
  <si>
    <t>4. The organization adheres to a "deny-all and allow-by-exception" policy for interconnected systems.
See CA-1 for SA&amp;A requirements.</t>
  </si>
  <si>
    <t>1. The organization documents identifier management procedures to:
a. Require designated organization officials to provide authorization for the assignment of an individual, group, role, or device identifier;</t>
  </si>
  <si>
    <t>1. The organization documents identifier management procedures to:
b. Selecting an identifier that identifies an individual, group, role, or device;</t>
  </si>
  <si>
    <t>1. The organization documents identifier management procedures to:
c. Assigning the identifier to the intended individual, group, role, or device;</t>
  </si>
  <si>
    <t>1. The organization documents identifier management procedures to:
d. Preventing reuse of identifiers; and.</t>
  </si>
  <si>
    <t xml:space="preserve">IR-4(1)
INCIDENT HANDLING | AUTOMATED INCIDENT HANDLING PROCESSES
The organization employs automated mechanisms to support the incident handling process. 
 </t>
  </si>
  <si>
    <t xml:space="preserve">Supplemental Guidance:  Automated mechanisms supporting incident handling processes include, for example, online incident management systems. </t>
  </si>
  <si>
    <t xml:space="preserve">The organization: 
b. Notifies [Assignment: organization-defined personnel or roles] within [Assignment: organization-defined time period] when a formal employee sanctions process is initiated, identifying the individual sanctioned and the reason for the sanction. </t>
  </si>
  <si>
    <t xml:space="preserve">The organization: 
a. Employs a formal sanctions process for individuals failing to comply with established information security policies and procedures; and </t>
  </si>
  <si>
    <t>The organization: 
b. Estimates the maximum bandwidth of those channels.</t>
  </si>
  <si>
    <t xml:space="preserve">The organization: 
a. Performs a covert channel analysis to identify those aspects of communications within the information system that are potential avenues for covert [Selection (one or more): storage; timing] channels; and </t>
  </si>
  <si>
    <t xml:space="preserve">SI-7(1)
SOFTWARE, FIRMWARE, AND INFORMATION INTEGRITY | INTEGRITY CHECKS
The information system performs an integrity check of [Assignment: organization-defined software, firmware, and information] [Selection (one or more): at startup; at [Assignment: organization-defined transitional states or security-relevant events]; [Assignment: organization-defined frequency]]. 
</t>
  </si>
  <si>
    <t>Supplemental Guidance:  Security-relevant events include, for example, the identification of a new threat to which organizational information systems are susceptible, and the installation of new hardware, software, or firmware. Transitional states include, for example, system startup, restart, shutdown, and abort.</t>
  </si>
  <si>
    <t xml:space="preserve">SI-7(7)
SOFTWARE, FIRMWARE, AND INFORMATION INTEGRITY | INTEGRATION OF DETECTION AND RESPONSE
The organization incorporates the detection of unauthorized [Assignment: organization-defined security-relevant changes to the information system] into the organizational incident response capability. 
</t>
  </si>
  <si>
    <t>Supplemental Guidance:  This control enhancement helps to ensure that detected events are tracked, monitored, corrected, and available for historical purposes. Maintaining historical records is important both for being able to identify and discern adversary actions over an extended period of time and for possible legal actions. Security-relevant changes include, for example, unauthorized changes to established configuration settings or unauthorized elevation of information system privileges. Related to: IR-4, IR-5, SI-4</t>
  </si>
  <si>
    <t>1. User installed software policy and procedures document the following standards:
a. The organization identifies permitted and prohibited actions regarding software installation;</t>
  </si>
  <si>
    <t>1. User installed software policy and procedures document the following standards:
b. Procedures detail policy enforcement methods include procedural methods (e.g., periodic examination of user accounts), automated methods (e.g., configuration settings implemented on organizational information systems), or both.</t>
  </si>
  <si>
    <t xml:space="preserve">1. User installed software policy and procedures document the following standards:
2.  organization officials are alerted when unauthorized software is detected.  Unauthorized software is captured in audit logs.  </t>
  </si>
  <si>
    <t xml:space="preserve">1. User installed software policy and procedures document the following standards:
Unauthorized software is captured in audit logs.  </t>
  </si>
  <si>
    <t>1. organization SDLC documentation describes the SDLC model in use to develop or acquire information systems or information system services and integrates security considerations into each phase.</t>
  </si>
  <si>
    <t xml:space="preserve">1. organization does not allow employees or contractors to access the information system using non organization-owned devices.
</t>
  </si>
  <si>
    <t xml:space="preserve">2. Procedures are in place to describe the process for allowing authorized individuals to access the information system from the external information systems.
</t>
  </si>
  <si>
    <t xml:space="preserve">3. Procedures are in place to describe the process for allowing authorized individuals to process, store, and/or transmit organization-controlled information using the external information systems.
</t>
  </si>
  <si>
    <t xml:space="preserve">2. The audit tool manipulates collected audit information and organizes such information in a summary format that is more meaningful to analysts and may identify anomalous behavior in audit records.
</t>
  </si>
  <si>
    <t xml:space="preserve">1. Audit reduction and report generation capability is provided either by the system itself, or by a third party software tool.
</t>
  </si>
  <si>
    <t>1. The organization implements a continuous monitoring program which identifies security controls (typically a subset of the controls) to be selected for assessment.  Selected security controls are evaluated against Office of Safeguards or organization standards for security control requirements.</t>
  </si>
  <si>
    <t>1. a. organization-defined metrics are established.</t>
  </si>
  <si>
    <t>1. b. Assessments are performed at least annually, or more frequently per the organization's strategy.</t>
  </si>
  <si>
    <t>1. c. Monitoring is performed of defined metrics and modified when necessary.</t>
  </si>
  <si>
    <t xml:space="preserve">1. Explicit approval must be given for personnel to perform nonlocal maintenance and nonlocal maintenance activities are monitored.
</t>
  </si>
  <si>
    <t xml:space="preserve">2. Multi-factor authentication is required for nonlocal maintenance.
</t>
  </si>
  <si>
    <t xml:space="preserve">3. Maintenance records are current and include nonlocal maintenance activities.
</t>
  </si>
  <si>
    <t xml:space="preserve">4. Accounts with the privileges to perform nonlocal maintenance are managed through the organization's account management process and follow identification and authentication requirements.
</t>
  </si>
  <si>
    <t>The organization: 
a. Develops and documents access agreements for organizational information</t>
  </si>
  <si>
    <t xml:space="preserve">The organization: 
b. Reviews and updates the access agreements [Assignment: organization-defined frequency]; and </t>
  </si>
  <si>
    <t xml:space="preserve">The organization: 
c. Ensures that individuals requiring access to organizational information and information systems: 
1. Sign appropriate access agreements prior to being granted access; and </t>
  </si>
  <si>
    <t xml:space="preserve">The organization: 
c. Ensures that individuals requiring access to organizational information and information systems: 
2. Re-sign access agreements to maintain access to organizational information systems when access agreements have been updated or [Assignment: organization-defined frequency]. </t>
  </si>
  <si>
    <t>1. The following conditions in the contract are documented:
a. Security requirements are included (e.g. functional, strength, acceptance criteria, etc.).</t>
  </si>
  <si>
    <t>1. The following conditions in the contract are documented:
b. The developer or provider is required to provide a documented description of the functional properties of the security controls employed.</t>
  </si>
  <si>
    <t>1. The organization retains administrator documentation to include, but is not limited to - configuration manuals, installation instructions, operational guides, etc.</t>
  </si>
  <si>
    <t>2. The organization retains user documentation to include, but is not limited to - User Manual, User Responsibility Guide, etc.</t>
  </si>
  <si>
    <t>3. The organization attempts to obtain system documentation when such documentation is either unavailable or nonexistent.</t>
  </si>
  <si>
    <t>4. Information system documentation is securely stored.  The organization implements safeguards to protect documentation from alteration or unauthorized access in accordance with the organization's risk management strategy.</t>
  </si>
  <si>
    <t xml:space="preserve">The organization: 
a. Develops and disseminates an organization-wide information security program plan that: 
1. Provides an overview of the requirements for the security program and a description of the security program management controls and common controls in place or planned for meeting those requirements; </t>
  </si>
  <si>
    <t xml:space="preserve">The organization: 
a. Develops and disseminates an organization-wide information security program plan that: 
2. Includes the identification and assignment of roles, responsibilities, management commitment, coordination among organizational entities, and compliance; </t>
  </si>
  <si>
    <t xml:space="preserve">The organization: 
a. Develops and disseminates an organization-wide information security program plan that: 
3. Reflects coordination among organizational entities responsible for the different aspects of information security (i.e., technical, physical, personnel, cyber-physical); and </t>
  </si>
  <si>
    <t xml:space="preserve">The organization: 
a. Develops and disseminates an organization-wide information security program plan that: 
4. Is approved by a senior official with responsibility and accountability for the risk being incurred to organizational operations (including mission, functions, image, and reputation), organizational assets, individuals, other organizations, and the Nation; </t>
  </si>
  <si>
    <t xml:space="preserve">The organization: 
b. Reviews the organization-wide information security program plan [Assignment: organization-defined frequency]; </t>
  </si>
  <si>
    <t xml:space="preserve">The organization: 
c. Updates the plan to address organizational changes and problems identified during plan implementation or security control assessments; and </t>
  </si>
  <si>
    <t>The organization: 
d. Protects the information security program plan from unauthorized disclosure and modification.</t>
  </si>
  <si>
    <t xml:space="preserve">The organization: 
a. Implements a process for ensuring that organizational plans for conducting security testing, training, and monitoring activities associated with organizational information systems: 
1. Are developed and maintained; and </t>
  </si>
  <si>
    <t xml:space="preserve">The organization: 
a. Implements a process for ensuring that organizational plans for conducting security testing, training, and monitoring activities associated with organizational information systems: 
2. Continue to be executed in a timely manner;  </t>
  </si>
  <si>
    <t xml:space="preserve">The organization: 
b. Reviews testing, training, and monitoring plans for consistency with the organizational risk management strategy and organization-wide priorities for risk response actions. </t>
  </si>
  <si>
    <t>1. Policy and procedures require  configurations to be documented and set up to reflect the most restrictive mode consistent with operational requirements.</t>
  </si>
  <si>
    <t>3. The organization identifies, documents, and approves exceptions from the mandatory settings.</t>
  </si>
  <si>
    <t>4. Changes to the configuration settings are monitored by the organization.</t>
  </si>
  <si>
    <t>1. The Configuration Management Plan:
a. Addresses roles, responsibilities, and configuration management processes and procedures;</t>
  </si>
  <si>
    <t>1. The Configuration Management Plan:
b. Establishes a process for identifying and managing configuration items throughout the SDLC;</t>
  </si>
  <si>
    <t>1. The Configuration Management Plan:
c. Defines the configuration items for the information system;</t>
  </si>
  <si>
    <t xml:space="preserve">1. The Configuration Management Plan:
d. Protects the configuration management plan from unauthorized disclosure and modification. 
</t>
  </si>
  <si>
    <t xml:space="preserve">The organization: 
a. Uses software and associated documentation in accordance with contract agreements and copyright laws; </t>
  </si>
  <si>
    <t xml:space="preserve">The organization: 
b.Tracks the use of software and associated documentation protected by quantity licenses to control copying and distribution; and </t>
  </si>
  <si>
    <t xml:space="preserve">The organization: 
c. Controls and documents the use of peer-to-peer file sharing technology to ensure that this capability is not used for the unauthorized distribution, display, performance, or reproduction of copyrighted work. </t>
  </si>
  <si>
    <t>2. System maintenance policy describes the process for the organization to approve, control, monitor, the use of, and maintains on an ongoing basis, information maintenance tools.</t>
  </si>
  <si>
    <t>1. organization approves, controls, monitors, the use of, and maintains on an ongoing basis, information system maintenance tools.</t>
  </si>
  <si>
    <t xml:space="preserve">The organization: 
b. Ensures that asset location technologies are employed in accordance with applicable federal laws, Executive Orders, directives, regulations, policies, standards, and guidance. </t>
  </si>
  <si>
    <t xml:space="preserve">The organization: 
a. Employs [Assignment: organization-defined asset location technologies] to track and monitor the location and movement of [Assignment: organization-defined assets] within [Assignment: organization-defined controlled areas]; and </t>
  </si>
  <si>
    <t xml:space="preserve">The organization establishes and institutionalizes contact with selected groups and associations within the security community: 
a. To facilitate ongoing security education and training for organizational personnel; </t>
  </si>
  <si>
    <t xml:space="preserve">The organization establishes and institutionalizes contact with selected groups and associations within the security community: 
b. To maintain currency with recommended security practices, techniques, and technologies; and </t>
  </si>
  <si>
    <t xml:space="preserve">The organization establishes and institutionalizes contact with selected groups and associations within the security community: 
c. To share current security-related information including threats, vulnerabilities, and incidents. </t>
  </si>
  <si>
    <t>1. Incident response testing is performed annually and results in a documented After Action Report.</t>
  </si>
  <si>
    <t xml:space="preserve">The organization: 
a. Develops a comprehensive strategy to manage risk to organizational operations and assets, individuals, other organizations, and the Nation associated with the operation and use of information systems; </t>
  </si>
  <si>
    <t xml:space="preserve">The organization: 
b. Implements the risk management strategy consistently across the organization; and </t>
  </si>
  <si>
    <t xml:space="preserve">The organization: 
c. Reviews and updates the risk management strategy [Assignment: organization-defined frequency] or as required, to address organizational changes. </t>
  </si>
  <si>
    <t xml:space="preserve">The organization: 
a. Implements a process for ensuring that plans of action and milestones for the security program and associated organizational information systems: 
1. Are developed and maintained; </t>
  </si>
  <si>
    <t xml:space="preserve">The organization: 
a. Implements a process for ensuring that plans of action and milestones for the security program and associated organizational information systems: 
2. Document the remedial information security actions to adequately respond to risk to organizational operations and assets, individuals, other organizations, and the Nation; and </t>
  </si>
  <si>
    <t xml:space="preserve">The organization: 
a. Implements a process for ensuring that plans of action and milestones for the security program and associated organizational information systems: 
3. Are reported in accordance with OMB FISMA reporting requirements. </t>
  </si>
  <si>
    <t xml:space="preserve">The organization: 
b. Reviews plans of action and milestones for consistency with the organizational risk management strategy and organization-wide priorities for risk response actions. </t>
  </si>
  <si>
    <t xml:space="preserve">The organization: 
a. Provides the means to associate [Assignment: organization-defined types of security attributes] having [Assignment: organization-defined security attribute values] with information in storage, in process, and/or in transmission; </t>
  </si>
  <si>
    <t xml:space="preserve">The organization: 
b. Ensures that the security attribute associations are made and retained with the information; </t>
  </si>
  <si>
    <t xml:space="preserve">The organization: 
c. Establishes the permitted [Assignment: organization-defined security attributes] for [Assignment: organization-defined information systems]; and </t>
  </si>
  <si>
    <t>The organization: 
d. Determines the permitted [Assignment: organization-defined values or ranges] for each of the established security attributes.</t>
  </si>
  <si>
    <t xml:space="preserve">The organization: 
b. Determines information protection needs arising from the defined mission/business processes and revises the processes as necessary, until achievable protection needs are obtained. </t>
  </si>
  <si>
    <t xml:space="preserve">The organization: 
a. Defines mission/business processes with consideration for information security and the resulting risk to organizational operations, organizational assets, individuals, other organizations, and the Nation; and </t>
  </si>
  <si>
    <t>1. The contingency plan documents: 
b. Recovery objectives, restoration priorities, metrics, roles, responsibilities, and key personnel contact information; and</t>
  </si>
  <si>
    <t>1. The contingency plan documents: 
c. An update log which demonstrates an annual review of the plan.</t>
  </si>
  <si>
    <t>2. The organization
a. Coordinates contingency planning activities with incident handling activities; and</t>
  </si>
  <si>
    <t>2. The organization
b. Distributes copies of and communicates changes to the contingency plan to key personnel.</t>
  </si>
  <si>
    <t>AC-1.10</t>
  </si>
  <si>
    <t>PS-1.10</t>
  </si>
  <si>
    <t>IR-1.10</t>
  </si>
  <si>
    <t>MP-1.10</t>
  </si>
  <si>
    <t>IR-8.10</t>
  </si>
  <si>
    <t>IA-5.10</t>
  </si>
  <si>
    <t>Account Management</t>
  </si>
  <si>
    <t>SA-11.10</t>
  </si>
  <si>
    <r>
      <t xml:space="preserve">Consolidated Assessment Cases
</t>
    </r>
    <r>
      <rPr>
        <i/>
        <sz val="10"/>
        <color theme="0"/>
        <rFont val="Calibri"/>
        <family val="2"/>
        <scheme val="minor"/>
      </rPr>
      <t xml:space="preserve">Derived from IRS Office of Safeguards Guidance or  800-53 Control Description where no IRS guidance is provided </t>
    </r>
  </si>
  <si>
    <t>Case Number</t>
  </si>
  <si>
    <t>Status</t>
  </si>
  <si>
    <t>Implemented</t>
  </si>
  <si>
    <t>Not Implemented - Risk Accepted</t>
  </si>
  <si>
    <t>Not Implemented - Compensating Control</t>
  </si>
  <si>
    <t>Description</t>
  </si>
  <si>
    <t xml:space="preserve">The security control is implemented as described </t>
  </si>
  <si>
    <t xml:space="preserve">The security control has not been implemented and the organization has determined the risk should be accepted. </t>
  </si>
  <si>
    <t>The security control has not been implemented. However, the risk has been mitigated by another control whose implementation compensates for this one thereby reducing the risk to acceptable levels.</t>
  </si>
  <si>
    <t>In Progress - Administrative</t>
  </si>
  <si>
    <t>This control is not fully implemented and is in the process of being implemented through adminstrative processes (i.e. the completion or approval of security policies and procedures).</t>
  </si>
  <si>
    <t>In Progress - Configuration</t>
  </si>
  <si>
    <t>This control is not fully implemented and is in the process of being implemented through configuration settings  or modifications to information systems (e.g. firewall policies, network access control lists, etc.)</t>
  </si>
  <si>
    <t>In Progress - Installation/Upgrade</t>
  </si>
  <si>
    <t>This control is in the process of being implemented via installation of new information systems/software or upgrades to existing systems/software.</t>
  </si>
  <si>
    <t>Score</t>
  </si>
  <si>
    <t>Not Implemented - Planned</t>
  </si>
  <si>
    <t>The security control has not been implemented, but there is an existing POAM item or other plan established for the implementation of this control within the next six (6) months</t>
  </si>
  <si>
    <t>Not Implemented - Unplanned</t>
  </si>
  <si>
    <t>The security control has not been implemented and there is no documented plan to implement it within six (6) months of the self-assessment. Note: These controls should be undergo risk analysis immediately to determine prioritization and mitigation strategies.</t>
  </si>
  <si>
    <t>NIST Control Number</t>
  </si>
  <si>
    <t>NIST Control Name</t>
  </si>
  <si>
    <t xml:space="preserve">Determine if: the organization defines information at rest requiring one or more of the following: confidentiality protection; and/or </t>
  </si>
  <si>
    <t xml:space="preserve">Determine if: the organization defines information at rest requiring one or more of the following: integrity protection; </t>
  </si>
  <si>
    <t xml:space="preserve">Determine if: the information system protects: the confidentiality of organization-defined information at rest; and/or </t>
  </si>
  <si>
    <t xml:space="preserve">Determine if: the information system protects: the integrity of organization-defined information at rest. </t>
  </si>
  <si>
    <t>9.3.15.7 External Information System Services (SA-9)
The agency must:
a. Require that providers of external information system services comply with agency information security requirements and employ to include (at a minimum) security requirements contained within this publication and applicable federal laws, Executive Orders, directives, policies, regulations, standards, and established service-level agreements;
b. Define and document government oversight and user roles and responsibilities with regard to external information system services;
c. Monitor security control compliance by external service providers on an ongoing basis; and
d. Restrict the location of information systems that receive, process, store, or transmit FTI to areas within the United States territories, embassies, or military installations. (CE5)
Agencies must prohibit the use of non-agency-owned information systems, system components, or devices that receive, process, store, or transmit FTI unless explicitly approved by the Office of Safeguards. For notification requirements, refer to Section 7.4.5, Non-Agency-Owned Information Systems. The contract for the acquisition must contain Exhibit 7 language, as appropriate (see Section 9.3.15.4, Acquisition Process (SA-4), and Exhibit 7, Safeguarding Contract Language).</t>
  </si>
  <si>
    <t>Not Implemented - Risk Negligible</t>
  </si>
  <si>
    <t>The security control has not been implemented due to a risk analysis demonstrating the likelihood and/or impact of the risk occuring being low enough that control implementation is not warranted.</t>
  </si>
  <si>
    <t>Not Applicable</t>
  </si>
  <si>
    <t>-</t>
  </si>
  <si>
    <t>This only applies to security controls where the control itself does not in any way apply. For example a control element that calls for coordination among organizational entities where the organization is not large to have multiple entities would not be able to implement that aspect of the control.
NOTE: Test cases marked Not Applicable do not get a value assigned to them as they neither contribute to or mitigate risk.</t>
  </si>
  <si>
    <t>System user accounts are locked after five (5) consecutive, unsuccessful login attempts.
- The accounts remain locked no less than 15 minutes or until an administrator unlocks the account</t>
  </si>
  <si>
    <t>2. Procedures: 
  b. document procedures to facilitate the implementation of the access control policy and associated access control controls</t>
  </si>
  <si>
    <t>The authentication module uses  strong encryption for all forms of authentication which should be documented.</t>
  </si>
  <si>
    <t>"System user accounts" is synonomous with "priviledged accounts". Customer accounts are covered under the "Trusted Customer" guidance.</t>
  </si>
  <si>
    <t>Organization policy requires incidents to be reported to the organization Incident Response Team as well as the contracted providers (for example, the organization's cloud provider).</t>
  </si>
  <si>
    <t>Section</t>
  </si>
  <si>
    <t>Control_Status_def</t>
  </si>
  <si>
    <t>References</t>
  </si>
  <si>
    <t xml:space="preserve">Definitions of the options provided for the status of the control implementation for each test case </t>
  </si>
  <si>
    <t>Attachments of any relevant references are located in this tab</t>
  </si>
  <si>
    <t>This controls is addressing requirements to be implemented at the storage site. If information is stored off-site, the expectation is the contract or agreement addresses who will address this issue. For on-site strorage, proof of how this requirement is being enforced needs to be provided.</t>
  </si>
  <si>
    <r>
      <t xml:space="preserve">Additional Guidance 
</t>
    </r>
    <r>
      <rPr>
        <i/>
        <sz val="12"/>
        <color theme="0"/>
        <rFont val="Calibri"/>
        <family val="2"/>
        <scheme val="minor"/>
      </rPr>
      <t xml:space="preserve">(e.g., NIST Supplemental Guidance, Publicaton 1075 Requirements) </t>
    </r>
    <r>
      <rPr>
        <b/>
        <sz val="12"/>
        <color theme="0"/>
        <rFont val="Calibri"/>
        <family val="2"/>
        <scheme val="minor"/>
      </rPr>
      <t>when applicable.</t>
    </r>
  </si>
  <si>
    <t xml:space="preserve">IA-2(12) - IDENTIFICATION AND AUTHENTICATION (ORGANIZATIONAL USERS) | ACCEPTANCE OF PIV CREDENTIALS:
Where feasible the information system accepts and electronically verifies Personal Identity Verification (PIV) credentials
</t>
  </si>
  <si>
    <t>PE-6(1) - MONITORING PHYSICAL ACCESS | INTRUSION ALARMS / SURVEILLANCE EQUIPMENT: The organization monitors physical intrusion alarms and surveillance equipment. 
Note: This controls is addressing requirements to be implemented at the storage site. If information is stored off-site, the expectation is the contract or agreement addresses who will address this issue. For on-site strorage, proof of how this requirement is being enforced needs to be provided.</t>
  </si>
  <si>
    <t>Publicly accessible (based on NIST 800-53) refers to information systems that are controlled by the organization and accessible to the general public, typically without identification or authentication. A taxpayer gaining access to their account with a tax preparer service through a website based logon does not constitute publicly accessible. This is because the website where the logon page is found may be publicly viewable but it requires credentials to be accessible and is therefore not available to the general public.</t>
  </si>
  <si>
    <t>The use of automated mechanisms can include, for example: using email or text messaging to automatically notify account managers.</t>
  </si>
  <si>
    <t>AC-6(2) - LEAST PRIVILEGE | NON-PRIVILEGED ACCESS FOR NONSECURITY FUNCTIONS: The organization requires that users of information system accounts, or roles, with access to [Assignment: organization-defined security functions or security-relevant information], use non-privileged accounts or roles, when accessing nonsecurity functions. 
NOTE: The size of the organization may have an impact on the implementation of this control as well as its associated risk.</t>
  </si>
  <si>
    <t>1. Information system audit records are reviewed, at least weekly, or more frequently, to identify potential unauthorized access to Taxpayer Information; and</t>
  </si>
  <si>
    <t xml:space="preserve">1. The organization implements a POA&amp;M process for the information systems that receive, process, store or transmit Taxpayer Information. </t>
  </si>
  <si>
    <t>1. The organization maintains a list of qualified and authorized personnel to access information systems that receive, process, store or transmit Taxpayer Information for the express purpose of implementing hardware, software and/or firmware changes.</t>
  </si>
  <si>
    <t>1. The contingency plan documents: 
a. Essential missions, business functions and associated contingency requirements for systems that receive, process, store or transmit Taxpayer Information;</t>
  </si>
  <si>
    <t xml:space="preserve">1. If non-organization personnel have access the organization must ensure that:
b. multi-factor authentication is utilized for all remote network access to privileged and non-privileged accounts for information systems that receive, process, store, or transmit Taxpayer Information.
</t>
  </si>
  <si>
    <t>2. All employees and contractors with significant Taxpayer Information incident response capabilities, including technical personnel responsible for maintaining consolidated data centers and off-site storage, are included in tabletop exercises.</t>
  </si>
  <si>
    <t>2. The Incident Response (IR) plan addresses the following:
e. Defines reportable incidents (e.g. specifies Taxpayer Information);</t>
  </si>
  <si>
    <t>Maintenance policy and procedures document the following standards:
d. Sanitize equipment to remove Taxpayer Information from media prior to removal from organization facilities for remote maintenance/repairs; .</t>
  </si>
  <si>
    <t xml:space="preserve">5. All nonlocal maintenance activities to information systems that receive, process, store or transmit Taxpayer Information are done so using organization issued information systems.
</t>
  </si>
  <si>
    <t>1. The organization maintains a list of qualified and authorized personnel to access information systems that receive, process, store or transmit Taxpayer Information for the express purpose of performing hardware, software and/or firmware maintenance</t>
  </si>
  <si>
    <t>5. The form explicitly prohibits the posting of sensitive information (Taxpayer Information) to social media,  networking  or other public websites.</t>
  </si>
  <si>
    <t>1. The risk assessment addresses systems that receive, process, store or transmit Taxpayer Information.</t>
  </si>
  <si>
    <t>2. Results are documented and address the likelihood and magnitude of harm, from the unauthorized access, use, disclosure, disruption, modification, or destruction of the information system in scope and Taxpayer Information.</t>
  </si>
  <si>
    <t>1. The organization uses Taxpayer Information in the development or testing environment.  If not, this test is N/A.</t>
  </si>
  <si>
    <t xml:space="preserve">3. Security controls are in place to protect the confidentiality of Taxpayer Information in the environment:
-Logical Access Controls: Only authorized individuals have system access.  User accounts are managed at production system standards for establishing, modifying, disabling and removing accounts, etc. </t>
  </si>
  <si>
    <t>3. Security controls are in place to protect the confidentiality of Taxpayer Information in the environment:
-Identification and Authentication: Users are uniquely identified and passwords are not shared.</t>
  </si>
  <si>
    <t xml:space="preserve">3. Security controls are in place to protect the confidentiality of Taxpayer Information in the environment:
-Audit and Accountability: Detailed audit records are generated to capture unauthorized access of Taxpayer Information. Auditing should replicate the production system audit capabilities to ensure correct functionality. </t>
  </si>
  <si>
    <t>3. Security controls are in place to protect the confidentiality of Taxpayer Information in the environment:
-Encryption: All Taxpayer Information in transit is encrypted when moving across a LAN or WAN.</t>
  </si>
  <si>
    <t>2. Information systems that receive, process, store or transmit Taxpayer Information are included in the organization's SDLC process.</t>
  </si>
  <si>
    <t>Information system service acquisition contracts include:
d. Restrictions on the location of information systems that receive, process, store or transmit Taxpayer Information  to areas within the United States territories, embassies or military installations, as applicable.</t>
  </si>
  <si>
    <t>2. Implements subnetworks for publicly accessible system components that physically or logically separate them from internal systems that receive, process, store or transmit Taxpayer Information.</t>
  </si>
  <si>
    <t xml:space="preserve">1. Confidentiality and integrity of Taxpayer Information in transit is secured using cryptographic mechanisms (e.g., SSL, TLS). </t>
  </si>
  <si>
    <t>2. Procedures are in place that identifies unauthorized use of information systems that receive, process, store or transmit Taxpayer Information and automatically alert security personnel.</t>
  </si>
  <si>
    <t xml:space="preserve">1. Remote access policy or procedures address how the organization implements cryptographic mechanisms to protect the confidentiality and integrity of remote access sessions where Taxpayer Information is transmitted over the remote connection.
</t>
  </si>
  <si>
    <t xml:space="preserve">1. The organization requires multi-factor authentication for  remote access to the network and information systems that receive, process, store or transmit Taxpayer Information.
</t>
  </si>
  <si>
    <t>1. The organization has a wireless access policy and procedures documented to address the following:
b. Wireless access authorization to information systems that receive, process, store or transmit Taxpayer Information prior to allowing such connections</t>
  </si>
  <si>
    <t>1. The organization has implemented procedures to only allow:
  a. authorized users (e.g. employees, contractors, and authorized business partners) of the organization receiving the information to have access to Taxpayer Information.</t>
  </si>
  <si>
    <t>1. The System Security Plan (SSP) accurately depicts the organization's process for protecting Taxpayer Information.  The SSP accurately reflects the scope of all information systems that receive, process, store or transmit Taxpayer Information.</t>
  </si>
  <si>
    <t>2. Copies of the SSP are disseminated to designated organization officials.</t>
  </si>
  <si>
    <t>3. The SSP has been updated in accordance with annual reporting requirements.</t>
  </si>
  <si>
    <r>
      <t>Information system service acquisition contracts include:
a. For state authorities the security requirements to be employed in the system and system environment compliant with Publication 1075. For private organizations the security requirements to be employed in the system should, at a minimum, be consistent with the security controls listed in the Tax Ecosystem Selected Security Control self-assessment.
Note: Refer to '</t>
    </r>
    <r>
      <rPr>
        <i/>
        <sz val="10"/>
        <rFont val="Calibri"/>
        <family val="2"/>
        <scheme val="minor"/>
      </rPr>
      <t>Additional Guidance'</t>
    </r>
    <r>
      <rPr>
        <sz val="10"/>
        <rFont val="Calibri"/>
        <family val="2"/>
        <scheme val="minor"/>
      </rPr>
      <t xml:space="preserve"> column.</t>
    </r>
  </si>
  <si>
    <r>
      <t xml:space="preserve">1. The following conditions in the contract are documented:
c. For state authorities the Key Safeguarding elements, as provided in Publication 1075, Exhibit 7, </t>
    </r>
    <r>
      <rPr>
        <i/>
        <sz val="10"/>
        <rFont val="Calibri"/>
        <family val="2"/>
        <scheme val="minor"/>
      </rPr>
      <t>Safeguarding Contract Language</t>
    </r>
    <r>
      <rPr>
        <sz val="10"/>
        <rFont val="Calibri"/>
        <family val="2"/>
        <scheme val="minor"/>
      </rPr>
      <t>, are documented. Private organizations should ensure any contracts have conditions documented to protect Taxpayer Information. For private organziations Exhibit 7 may be used as a guide to identify what areas to cover in the contract language.
Note: Refer to attachment embedded in 'References' tab.</t>
    </r>
  </si>
  <si>
    <t>1. Procedures address mobile device usage or restrictions. 
If Taxpayer Information is accessible via mobile device, requirements are documented to include:
- Device configuration, connection and implementation requirements.
- Authorization process and approval for mobile devices to access organization information systems and Taxpayer Information.
- Device encryption requirements.
- Purge/wipe requirements (10 consecutive unsuccessful device logon attempts initiates a device memory wipe)</t>
  </si>
  <si>
    <t>3. Organization information systems: - undergo a full disk scan weekly and real-time scans of files from external sources (e.g. anti-virus installed on a laptop).</t>
  </si>
  <si>
    <t xml:space="preserve">3. Security controls are in place to protect the confidentiality of Taxpayer Information in the environment:
</t>
  </si>
  <si>
    <t>Labeling: Taxpayer Information must be labeled regardless of commingling with other data.</t>
  </si>
  <si>
    <t>This document belongs to the Internal Revenue Service. It may not be released without the express permission of IRS. Refer requests and inquiries for the document to: 
Michael Anthony, IRS IT Cybersecurity, 1111 Constitution Ave NW, Washington, DC 20224, 202.317.3028</t>
  </si>
  <si>
    <t>NIST Special Publication 800-53 Revision 4</t>
  </si>
  <si>
    <t>Link to NIST SP 800-53 Rev 4</t>
  </si>
  <si>
    <t>Embedded attachment of Exhibit 7, Pub 1075</t>
  </si>
  <si>
    <t>IMPLEMENTATION STATUS</t>
  </si>
  <si>
    <t>SC-2</t>
  </si>
  <si>
    <t>PL-4</t>
  </si>
  <si>
    <t>CA-5</t>
  </si>
  <si>
    <t xml:space="preserve"> Control Score</t>
  </si>
  <si>
    <t>Control_Scoring</t>
  </si>
  <si>
    <t>Worksheet to show how the test cases bear out for each control</t>
  </si>
  <si>
    <r>
      <rPr>
        <b/>
        <u/>
        <sz val="12"/>
        <color theme="1"/>
        <rFont val="Calibri"/>
        <family val="2"/>
        <scheme val="minor"/>
      </rPr>
      <t>Introduction</t>
    </r>
    <r>
      <rPr>
        <sz val="12"/>
        <color theme="1"/>
        <rFont val="Calibri"/>
        <family val="2"/>
        <scheme val="minor"/>
      </rPr>
      <t xml:space="preserve">: This excel document is intended to provide the test cases to be used by members of the Tax Ecosystem. These test cases are for self-assessment of the implementation of the Tax Ecosystem Selected Security Controls. </t>
    </r>
    <r>
      <rPr>
        <sz val="12"/>
        <rFont val="Calibri"/>
        <family val="2"/>
        <scheme val="minor"/>
      </rPr>
      <t xml:space="preserve">The test cases were derived from the security controls but are not implementation guidance. Each organization should review the Tax Ecosystem Selected Security Controls to determine how to implement them in their environment. </t>
    </r>
  </si>
  <si>
    <t>Self-Assessment_Cases</t>
  </si>
  <si>
    <t>The set of test cases for self-assessment</t>
  </si>
  <si>
    <t>1. The organization has implemented procedures to manage user accounts by: (i) uniquely identifying each user;</t>
  </si>
  <si>
    <t>1. The organization has implemented procedures to manage user accounts by: (ii) verifying the identity of each user;</t>
  </si>
  <si>
    <t>1. The organization has implemented procedures to manage user accounts by: (iii) receiving authorization to issue a user account from an appropriate organization official;</t>
  </si>
  <si>
    <t>1. The organization has implemented procedures to manage user accounts by: (iv) issuing the user account to the intended party;</t>
  </si>
  <si>
    <t>1. The organization has implemented procedures to manage user accounts by: (v) deactivating the user account once it is no longer needed; and</t>
  </si>
  <si>
    <t>1. The organization has implemented procedures to manage user accounts by: (vi) reviewing user accounts periodically.</t>
  </si>
  <si>
    <t>AC-1.02</t>
  </si>
  <si>
    <t>AC-16.02</t>
  </si>
  <si>
    <t>AC-17.02</t>
  </si>
  <si>
    <t>AC-18.02</t>
  </si>
  <si>
    <t>AC-19.02</t>
  </si>
  <si>
    <t>AC-2.02</t>
  </si>
  <si>
    <t>AC-20.02</t>
  </si>
  <si>
    <t>AC-21.02</t>
  </si>
  <si>
    <t>AC-6.02</t>
  </si>
  <si>
    <t>AT-1.02</t>
  </si>
  <si>
    <t>AU-1.02</t>
  </si>
  <si>
    <t>AU-11.02</t>
  </si>
  <si>
    <t>AU-5.02</t>
  </si>
  <si>
    <t>AU-6.02</t>
  </si>
  <si>
    <t>AU-7.02</t>
  </si>
  <si>
    <t>AU-8.02</t>
  </si>
  <si>
    <t>CA-1.02</t>
  </si>
  <si>
    <t>CA-2.02</t>
  </si>
  <si>
    <t>CA-3.02</t>
  </si>
  <si>
    <t>CA-7.02</t>
  </si>
  <si>
    <t>CA-9.02</t>
  </si>
  <si>
    <t>CM-1.02</t>
  </si>
  <si>
    <t>CM-10.02</t>
  </si>
  <si>
    <t>CM-11.02</t>
  </si>
  <si>
    <t>CM-3.02</t>
  </si>
  <si>
    <t>CM-5.02</t>
  </si>
  <si>
    <t>CM-6.02</t>
  </si>
  <si>
    <t>CM-7.02</t>
  </si>
  <si>
    <t>CM-8.02</t>
  </si>
  <si>
    <t>CM-9.02</t>
  </si>
  <si>
    <t>CP-1.02</t>
  </si>
  <si>
    <t>CP-2.02</t>
  </si>
  <si>
    <t>IA-1.02</t>
  </si>
  <si>
    <t>IA-2.02</t>
  </si>
  <si>
    <t>IA-4.02</t>
  </si>
  <si>
    <t>IA-5.02</t>
  </si>
  <si>
    <t>IA-8.02</t>
  </si>
  <si>
    <t>IR-1.02</t>
  </si>
  <si>
    <t>IR-3.02</t>
  </si>
  <si>
    <t>IR-8.02</t>
  </si>
  <si>
    <t>MA-1.02</t>
  </si>
  <si>
    <t>MA-2.02</t>
  </si>
  <si>
    <t>MA-3.02</t>
  </si>
  <si>
    <t>MA-4.02</t>
  </si>
  <si>
    <t>MA-5.02</t>
  </si>
  <si>
    <t>MP-1.02</t>
  </si>
  <si>
    <t>MP-4.02</t>
  </si>
  <si>
    <t>PE-1.02</t>
  </si>
  <si>
    <t>PE-16.02</t>
  </si>
  <si>
    <t>PE-2.02</t>
  </si>
  <si>
    <t>PE-20.02</t>
  </si>
  <si>
    <t>PE-3.02</t>
  </si>
  <si>
    <t>PL-1.02</t>
  </si>
  <si>
    <t>PL-2.02</t>
  </si>
  <si>
    <t>PL-4.02</t>
  </si>
  <si>
    <t>PL-8.02</t>
  </si>
  <si>
    <t>PM-1.02</t>
  </si>
  <si>
    <t>PM-11.02</t>
  </si>
  <si>
    <t>PM-14.02</t>
  </si>
  <si>
    <t>PM-15.02</t>
  </si>
  <si>
    <t>PM-4.02</t>
  </si>
  <si>
    <t>PM-9.02</t>
  </si>
  <si>
    <t>PS-1.02</t>
  </si>
  <si>
    <t>PS-2.02</t>
  </si>
  <si>
    <t>PS-3.02</t>
  </si>
  <si>
    <t>PS-5.02</t>
  </si>
  <si>
    <t>PS-6.02</t>
  </si>
  <si>
    <t>PS-7.02</t>
  </si>
  <si>
    <t>RA-1.02</t>
  </si>
  <si>
    <t>RA-2.02</t>
  </si>
  <si>
    <t>RA-3.02</t>
  </si>
  <si>
    <t>RA-5.02</t>
  </si>
  <si>
    <t>SA-1.02</t>
  </si>
  <si>
    <t>SA-10.02</t>
  </si>
  <si>
    <t>SA-11.02</t>
  </si>
  <si>
    <t>SA-15.02</t>
  </si>
  <si>
    <t>SA-17.02</t>
  </si>
  <si>
    <t>SA-3.02</t>
  </si>
  <si>
    <t>SA-4.02</t>
  </si>
  <si>
    <t>SA-5.02</t>
  </si>
  <si>
    <t>SA-9.02</t>
  </si>
  <si>
    <t>SC-1.02</t>
  </si>
  <si>
    <t>SC-18.02</t>
  </si>
  <si>
    <t>SC-28.02</t>
  </si>
  <si>
    <t>SC-31.02</t>
  </si>
  <si>
    <t>SC-7.02</t>
  </si>
  <si>
    <t>SC-8.02</t>
  </si>
  <si>
    <t>SI-1.02</t>
  </si>
  <si>
    <t>SI-3.02</t>
  </si>
  <si>
    <t>SI-4.02</t>
  </si>
  <si>
    <t>SI-5.02</t>
  </si>
  <si>
    <t>SI-7.02</t>
  </si>
  <si>
    <t>AC-1.03</t>
  </si>
  <si>
    <t>AC-16.03</t>
  </si>
  <si>
    <t>AC-17.03</t>
  </si>
  <si>
    <t>AC-18.03</t>
  </si>
  <si>
    <t>AC-2.03</t>
  </si>
  <si>
    <t>AC-6.03</t>
  </si>
  <si>
    <t>AT-1.03</t>
  </si>
  <si>
    <t>AU-1.03</t>
  </si>
  <si>
    <t>CA-1.03</t>
  </si>
  <si>
    <t>CA-2.03</t>
  </si>
  <si>
    <t>CA-3.03</t>
  </si>
  <si>
    <t>CA-7.03</t>
  </si>
  <si>
    <t>CM-1.03</t>
  </si>
  <si>
    <t>CM-10.03</t>
  </si>
  <si>
    <t>CM-11.03</t>
  </si>
  <si>
    <t>CM-3.03</t>
  </si>
  <si>
    <t>CM-6.03</t>
  </si>
  <si>
    <t>CM-9.03</t>
  </si>
  <si>
    <t>CP-1.03</t>
  </si>
  <si>
    <t>CP-2.03</t>
  </si>
  <si>
    <t>IA-1.03</t>
  </si>
  <si>
    <t>IA-2.03</t>
  </si>
  <si>
    <t>IA-4.03</t>
  </si>
  <si>
    <t>IA-5.03</t>
  </si>
  <si>
    <t>IR-1.03</t>
  </si>
  <si>
    <t>IR-8.03</t>
  </si>
  <si>
    <t>MA-1.03</t>
  </si>
  <si>
    <t>MA-2.03</t>
  </si>
  <si>
    <t>MA-4.03</t>
  </si>
  <si>
    <t>MP-1.03</t>
  </si>
  <si>
    <t>PE-1.03</t>
  </si>
  <si>
    <t>PE-16.03</t>
  </si>
  <si>
    <t>PE-2.03</t>
  </si>
  <si>
    <t>PE-3.03</t>
  </si>
  <si>
    <t>PL-1.03</t>
  </si>
  <si>
    <t>PL-2.03</t>
  </si>
  <si>
    <t>PL-4.03</t>
  </si>
  <si>
    <t>PL-8.03</t>
  </si>
  <si>
    <t>PM-1.03</t>
  </si>
  <si>
    <t>PM-14.03</t>
  </si>
  <si>
    <t>PM-15.03</t>
  </si>
  <si>
    <t>PM-4.03</t>
  </si>
  <si>
    <t>PM-9.03</t>
  </si>
  <si>
    <t>PS-1.03</t>
  </si>
  <si>
    <t>PS-2.03</t>
  </si>
  <si>
    <t>PS-5.03</t>
  </si>
  <si>
    <t>PS-6.03</t>
  </si>
  <si>
    <t>PS-7.03</t>
  </si>
  <si>
    <t>RA-1.03</t>
  </si>
  <si>
    <t>RA-2.03</t>
  </si>
  <si>
    <t>RA-3.03</t>
  </si>
  <si>
    <t>RA-5.03</t>
  </si>
  <si>
    <t>SA-1.03</t>
  </si>
  <si>
    <t>SA-11.03</t>
  </si>
  <si>
    <t>SA-15.03</t>
  </si>
  <si>
    <t>SA-17.03</t>
  </si>
  <si>
    <t>SA-4.03</t>
  </si>
  <si>
    <t>SA-5.03</t>
  </si>
  <si>
    <t>SA-9.03</t>
  </si>
  <si>
    <t>SC-1.03</t>
  </si>
  <si>
    <t>SC-18.03</t>
  </si>
  <si>
    <t>SC-28.03</t>
  </si>
  <si>
    <t>SC-7.03</t>
  </si>
  <si>
    <t>SI-1.03</t>
  </si>
  <si>
    <t>SI-3.03</t>
  </si>
  <si>
    <t>SI-4.03</t>
  </si>
  <si>
    <t>SI-5.03</t>
  </si>
  <si>
    <t>AC-1.04</t>
  </si>
  <si>
    <t>AC-16.04</t>
  </si>
  <si>
    <t>AC-17.04</t>
  </si>
  <si>
    <t>AC-2.04</t>
  </si>
  <si>
    <t>AC-6.04</t>
  </si>
  <si>
    <t>AT-1.04</t>
  </si>
  <si>
    <t>AU-1.04</t>
  </si>
  <si>
    <t>CA-1.04</t>
  </si>
  <si>
    <t>CA-3.04</t>
  </si>
  <si>
    <t>CA-7.04</t>
  </si>
  <si>
    <t>CM-1.04</t>
  </si>
  <si>
    <t>CM-11.04</t>
  </si>
  <si>
    <t>CM-3.04</t>
  </si>
  <si>
    <t>CM-6.04</t>
  </si>
  <si>
    <t>CM-9.04</t>
  </si>
  <si>
    <t>CP-1.04</t>
  </si>
  <si>
    <t>CP-2.04</t>
  </si>
  <si>
    <t>IA-1.04</t>
  </si>
  <si>
    <t>IA-2.04</t>
  </si>
  <si>
    <t>IA-4.04</t>
  </si>
  <si>
    <t>IA-5.04</t>
  </si>
  <si>
    <t>IR-1.04</t>
  </si>
  <si>
    <t>IR-8.04</t>
  </si>
  <si>
    <t>MA-1.04</t>
  </si>
  <si>
    <t>MA-2.04</t>
  </si>
  <si>
    <t>MA-4.04</t>
  </si>
  <si>
    <t>MP-1.04</t>
  </si>
  <si>
    <t>PE-1.04</t>
  </si>
  <si>
    <t>PE-2.04</t>
  </si>
  <si>
    <t>PE-3.04</t>
  </si>
  <si>
    <t>PL-1.04</t>
  </si>
  <si>
    <t>PL-2.04</t>
  </si>
  <si>
    <t>PL-4.04</t>
  </si>
  <si>
    <t>PL-8.04</t>
  </si>
  <si>
    <t>PM-1.04</t>
  </si>
  <si>
    <t>PM-4.04</t>
  </si>
  <si>
    <t>PS-1.04</t>
  </si>
  <si>
    <t>PS-5.04</t>
  </si>
  <si>
    <t>PS-6.04</t>
  </si>
  <si>
    <t>PS-7.04</t>
  </si>
  <si>
    <t>RA-1.04</t>
  </si>
  <si>
    <t>RA-3.04</t>
  </si>
  <si>
    <t>RA-5.04</t>
  </si>
  <si>
    <t>SA-1.04</t>
  </si>
  <si>
    <t>SA-15.04</t>
  </si>
  <si>
    <t>SA-5.04</t>
  </si>
  <si>
    <t>SA-9.04</t>
  </si>
  <si>
    <t>SC-1.04</t>
  </si>
  <si>
    <t>SC-28.04</t>
  </si>
  <si>
    <t>SI-1.04</t>
  </si>
  <si>
    <t>SI-3.04</t>
  </si>
  <si>
    <t>SI-5.04</t>
  </si>
  <si>
    <t>AC-1.05</t>
  </si>
  <si>
    <t>AC-17.05</t>
  </si>
  <si>
    <t>AC-2.05</t>
  </si>
  <si>
    <t>AC-6.05</t>
  </si>
  <si>
    <t>AT-1.05</t>
  </si>
  <si>
    <t>AU-1.05</t>
  </si>
  <si>
    <t>CA-1.05</t>
  </si>
  <si>
    <t>CM-1.05</t>
  </si>
  <si>
    <t>CP-1.05</t>
  </si>
  <si>
    <t>CP-2.05</t>
  </si>
  <si>
    <t>IA-1.05</t>
  </si>
  <si>
    <t>IA-2.05</t>
  </si>
  <si>
    <t>IA-4.05</t>
  </si>
  <si>
    <t>IA-5.05</t>
  </si>
  <si>
    <t>IR-1.05</t>
  </si>
  <si>
    <t>IR-8.05</t>
  </si>
  <si>
    <t>MA-1.05</t>
  </si>
  <si>
    <t>MA-2.05</t>
  </si>
  <si>
    <t>MA-4.05</t>
  </si>
  <si>
    <t>MP-1.05</t>
  </si>
  <si>
    <t>PE-1.05</t>
  </si>
  <si>
    <t>PE-3.05</t>
  </si>
  <si>
    <t>PL-1.05</t>
  </si>
  <si>
    <t>PL-4.05</t>
  </si>
  <si>
    <t>PL-8.05</t>
  </si>
  <si>
    <t>PM-1.05</t>
  </si>
  <si>
    <t>PS-1.05</t>
  </si>
  <si>
    <t>PS-7.05</t>
  </si>
  <si>
    <t>RA-1.05</t>
  </si>
  <si>
    <t>RA-5.05</t>
  </si>
  <si>
    <t>SA-1.05</t>
  </si>
  <si>
    <t>SA-11.05</t>
  </si>
  <si>
    <t>SA-15.05</t>
  </si>
  <si>
    <t>SC-1.05</t>
  </si>
  <si>
    <t>SI-1.05</t>
  </si>
  <si>
    <t>SI-3.05</t>
  </si>
  <si>
    <t>AC-1.06</t>
  </si>
  <si>
    <t>AC-17.06</t>
  </si>
  <si>
    <t>AC-2.06</t>
  </si>
  <si>
    <t>AT-1.06</t>
  </si>
  <si>
    <t>AU-1.06</t>
  </si>
  <si>
    <t>CA-1.06</t>
  </si>
  <si>
    <t>CM-1.06</t>
  </si>
  <si>
    <t>CP-1.06</t>
  </si>
  <si>
    <t>IA-1.06</t>
  </si>
  <si>
    <t>IA-2.06</t>
  </si>
  <si>
    <t>IA-5.06</t>
  </si>
  <si>
    <t>IR-1.06</t>
  </si>
  <si>
    <t>IR-8.06</t>
  </si>
  <si>
    <t>MA-1.06</t>
  </si>
  <si>
    <t>MP-1.06</t>
  </si>
  <si>
    <t>PE-1.06</t>
  </si>
  <si>
    <t>PE-3.06</t>
  </si>
  <si>
    <t>PL-1.06</t>
  </si>
  <si>
    <t>PM-1.06</t>
  </si>
  <si>
    <t>PS-1.06</t>
  </si>
  <si>
    <t>RA-1.06</t>
  </si>
  <si>
    <t>SA-1.06</t>
  </si>
  <si>
    <t>SA-11.06</t>
  </si>
  <si>
    <t>SC-1.06</t>
  </si>
  <si>
    <t>SI-1.06</t>
  </si>
  <si>
    <t>SI-3.06</t>
  </si>
  <si>
    <t>AC-1.07</t>
  </si>
  <si>
    <t>AC-17.07</t>
  </si>
  <si>
    <t>AC-2.07</t>
  </si>
  <si>
    <t>AT-1.07</t>
  </si>
  <si>
    <t>AU-1.07</t>
  </si>
  <si>
    <t>CA-1.07</t>
  </si>
  <si>
    <t>CM-1.07</t>
  </si>
  <si>
    <t>CP-1.07</t>
  </si>
  <si>
    <t>IA-1.07</t>
  </si>
  <si>
    <t>IA-5.07</t>
  </si>
  <si>
    <t>IR-1.07</t>
  </si>
  <si>
    <t>IR-8.07</t>
  </si>
  <si>
    <t>MA-1.07</t>
  </si>
  <si>
    <t>MP-1.07</t>
  </si>
  <si>
    <t>PE-1.07</t>
  </si>
  <si>
    <t>PE-3.07</t>
  </si>
  <si>
    <t>PL-1.07</t>
  </si>
  <si>
    <t>PM-1.07</t>
  </si>
  <si>
    <t>PS-1.07</t>
  </si>
  <si>
    <t>RA-1.07</t>
  </si>
  <si>
    <t>SA-1.07</t>
  </si>
  <si>
    <t>SA-11.07</t>
  </si>
  <si>
    <t>SC-1.07</t>
  </si>
  <si>
    <t>SI-1.07</t>
  </si>
  <si>
    <t>AC-1.08</t>
  </si>
  <si>
    <t>AC-17.08</t>
  </si>
  <si>
    <t>AU-1.08</t>
  </si>
  <si>
    <t>CA-1.08</t>
  </si>
  <si>
    <t>CM-1.08</t>
  </si>
  <si>
    <t>CP-1.08</t>
  </si>
  <si>
    <t>IA-1.08</t>
  </si>
  <si>
    <t>IA-5.08</t>
  </si>
  <si>
    <t>IR-1.08</t>
  </si>
  <si>
    <t>IR-8.08</t>
  </si>
  <si>
    <t>MA-1.08</t>
  </si>
  <si>
    <t>MP-1.08</t>
  </si>
  <si>
    <t>PE-3.08</t>
  </si>
  <si>
    <t>PL-1.08</t>
  </si>
  <si>
    <t>PS-1.08</t>
  </si>
  <si>
    <t>RA-1.08</t>
  </si>
  <si>
    <t>SA-1.08</t>
  </si>
  <si>
    <t>SA-11.08</t>
  </si>
  <si>
    <t>SC-1.08</t>
  </si>
  <si>
    <t>SI-1.08</t>
  </si>
  <si>
    <t>AC-1.09</t>
  </si>
  <si>
    <t>AC-17.09</t>
  </si>
  <si>
    <t>AU-1.09</t>
  </si>
  <si>
    <t>CA-1.09</t>
  </si>
  <si>
    <t>CM-1.09</t>
  </si>
  <si>
    <t>CP-1.09</t>
  </si>
  <si>
    <t>IA-1.09</t>
  </si>
  <si>
    <t>IA-5.09</t>
  </si>
  <si>
    <t>IR-1.09</t>
  </si>
  <si>
    <t>IR-8.09</t>
  </si>
  <si>
    <t>MA-1.09</t>
  </si>
  <si>
    <t>MP-1.09</t>
  </si>
  <si>
    <t>PL-1.09</t>
  </si>
  <si>
    <t>PS-1.09</t>
  </si>
  <si>
    <t>RA-1.09</t>
  </si>
  <si>
    <t>SA-1.09</t>
  </si>
  <si>
    <t>SA-11.09</t>
  </si>
  <si>
    <t>SC-1.09</t>
  </si>
  <si>
    <t>SI-1.09</t>
  </si>
  <si>
    <t>AC-1.01</t>
  </si>
  <si>
    <t>AC-16.01</t>
  </si>
  <si>
    <t>AC-17.01</t>
  </si>
  <si>
    <t>AC-18.01</t>
  </si>
  <si>
    <t>AC-19.01</t>
  </si>
  <si>
    <t>AC-2.01</t>
  </si>
  <si>
    <t>AC-20.01</t>
  </si>
  <si>
    <t>AC-21.01</t>
  </si>
  <si>
    <t>AC-3.01</t>
  </si>
  <si>
    <t>AC-4.01</t>
  </si>
  <si>
    <t>AC-5.01</t>
  </si>
  <si>
    <t>AC-6.01</t>
  </si>
  <si>
    <t>AC-7.01</t>
  </si>
  <si>
    <t>AT-1.01</t>
  </si>
  <si>
    <t>AT-2.01</t>
  </si>
  <si>
    <t>AU-1.01</t>
  </si>
  <si>
    <t>AU-10.01</t>
  </si>
  <si>
    <t>AU-11.01</t>
  </si>
  <si>
    <t>AU-12.01</t>
  </si>
  <si>
    <t>AU-2.01</t>
  </si>
  <si>
    <t>AU-3.01</t>
  </si>
  <si>
    <t>AU-4.01</t>
  </si>
  <si>
    <t>AU-5.01</t>
  </si>
  <si>
    <t>AU-6.01</t>
  </si>
  <si>
    <t>AU-7.01</t>
  </si>
  <si>
    <t>AU-8.01</t>
  </si>
  <si>
    <t>AU-9.01</t>
  </si>
  <si>
    <t>CA-1.01</t>
  </si>
  <si>
    <t>CA-2.01</t>
  </si>
  <si>
    <t>CA-3.01</t>
  </si>
  <si>
    <t>CA-5.01</t>
  </si>
  <si>
    <t>CA-7.01</t>
  </si>
  <si>
    <t>CA-8.01</t>
  </si>
  <si>
    <t>CA-9.01</t>
  </si>
  <si>
    <t>CM-1.01</t>
  </si>
  <si>
    <t>CM-10.01</t>
  </si>
  <si>
    <t>CM-11.01</t>
  </si>
  <si>
    <t>CM-2.01</t>
  </si>
  <si>
    <t>CM-3.01</t>
  </si>
  <si>
    <t>CM-4.01</t>
  </si>
  <si>
    <t>CM-5.01</t>
  </si>
  <si>
    <t>CM-6.01</t>
  </si>
  <si>
    <t>CM-7.01</t>
  </si>
  <si>
    <t>CM-8.01</t>
  </si>
  <si>
    <t>CM-9.01</t>
  </si>
  <si>
    <t>CP-1.01</t>
  </si>
  <si>
    <t>CP-2.01</t>
  </si>
  <si>
    <t>IA-1.01</t>
  </si>
  <si>
    <t>IA-10.01</t>
  </si>
  <si>
    <t>IA-11.01</t>
  </si>
  <si>
    <t>IA-2.01</t>
  </si>
  <si>
    <t>IA-3.01</t>
  </si>
  <si>
    <t>IA-4.01</t>
  </si>
  <si>
    <t>IA-5.01</t>
  </si>
  <si>
    <t>IA-6.01</t>
  </si>
  <si>
    <t>IA-7.01</t>
  </si>
  <si>
    <t>IA-8.01</t>
  </si>
  <si>
    <t>IA-9.01</t>
  </si>
  <si>
    <t>IR-1.01</t>
  </si>
  <si>
    <t>IR-3.01</t>
  </si>
  <si>
    <t>IR-4.01</t>
  </si>
  <si>
    <t>IR-5.01</t>
  </si>
  <si>
    <t>IR-6.01</t>
  </si>
  <si>
    <t>IR-8.01</t>
  </si>
  <si>
    <t>MA-1.01</t>
  </si>
  <si>
    <t>MA-2.01</t>
  </si>
  <si>
    <t>MA-3.01</t>
  </si>
  <si>
    <t>MA-4.01</t>
  </si>
  <si>
    <t>MA-5.01</t>
  </si>
  <si>
    <t>MP-1.01</t>
  </si>
  <si>
    <t>MP-2.01</t>
  </si>
  <si>
    <t>MP-4.01</t>
  </si>
  <si>
    <t>MP-5.01</t>
  </si>
  <si>
    <t>MP-6.01</t>
  </si>
  <si>
    <t>MP-7.01</t>
  </si>
  <si>
    <t>PE-1.01</t>
  </si>
  <si>
    <t>PE-16.01</t>
  </si>
  <si>
    <t>PE-18.01</t>
  </si>
  <si>
    <t>PE-19.01</t>
  </si>
  <si>
    <t>PE-2.01</t>
  </si>
  <si>
    <t>PE-20.01</t>
  </si>
  <si>
    <t>PE-3.01</t>
  </si>
  <si>
    <t>PE-5.01</t>
  </si>
  <si>
    <t>PE-6.01</t>
  </si>
  <si>
    <t>PL-1.01</t>
  </si>
  <si>
    <t>PL-2.01</t>
  </si>
  <si>
    <t>PL-4.01</t>
  </si>
  <si>
    <t>PL-8.01</t>
  </si>
  <si>
    <t>PM-1.01</t>
  </si>
  <si>
    <t>PM-11.01</t>
  </si>
  <si>
    <t>PM-12.01</t>
  </si>
  <si>
    <t>PM-13.01</t>
  </si>
  <si>
    <t>PM-14.01</t>
  </si>
  <si>
    <t>PM-15.01</t>
  </si>
  <si>
    <t>PM-16.01</t>
  </si>
  <si>
    <t>PM-4.01</t>
  </si>
  <si>
    <t>PM-6.01</t>
  </si>
  <si>
    <t>PM-8.01</t>
  </si>
  <si>
    <t>PM-9.01</t>
  </si>
  <si>
    <t>PS-1.01</t>
  </si>
  <si>
    <t>PS-2.01</t>
  </si>
  <si>
    <t>PS-3.01</t>
  </si>
  <si>
    <t>PS-5.01</t>
  </si>
  <si>
    <t>PS-6.01</t>
  </si>
  <si>
    <t>PS-7.01</t>
  </si>
  <si>
    <t>PS-8.01</t>
  </si>
  <si>
    <t>PS-9.01</t>
  </si>
  <si>
    <t>RA-1.01</t>
  </si>
  <si>
    <t>RA-2.01</t>
  </si>
  <si>
    <t>RA-3.01</t>
  </si>
  <si>
    <t>RA-5.01</t>
  </si>
  <si>
    <t>SA-1.01</t>
  </si>
  <si>
    <t>SA-10.01</t>
  </si>
  <si>
    <t>SA-11.01</t>
  </si>
  <si>
    <t>SA-12.01</t>
  </si>
  <si>
    <t>SA-14.01</t>
  </si>
  <si>
    <t>SA-15.01</t>
  </si>
  <si>
    <t>SA-17.01</t>
  </si>
  <si>
    <t>SA-3.01</t>
  </si>
  <si>
    <t>SA-4.01</t>
  </si>
  <si>
    <t>SA-5.01</t>
  </si>
  <si>
    <t>SA-8.01</t>
  </si>
  <si>
    <t>SA-9.01</t>
  </si>
  <si>
    <t>SC-1.01</t>
  </si>
  <si>
    <t>SC-13.01</t>
  </si>
  <si>
    <t>SC-18.01</t>
  </si>
  <si>
    <t>SC-2.01</t>
  </si>
  <si>
    <t>SC-28.01</t>
  </si>
  <si>
    <t>SC-31.01</t>
  </si>
  <si>
    <t>SC-5.01</t>
  </si>
  <si>
    <t>SC-7.01</t>
  </si>
  <si>
    <t>SC-8.01</t>
  </si>
  <si>
    <t>SI-1.01</t>
  </si>
  <si>
    <t>SI-2.01</t>
  </si>
  <si>
    <t>SI-3.01</t>
  </si>
  <si>
    <t>SI-4.01</t>
  </si>
  <si>
    <t>SI-5.01</t>
  </si>
  <si>
    <t>SI-7.01</t>
  </si>
  <si>
    <t>This applies to members where they have an information sharing partner. The information sharing may be relate to any business process or transaction and applies if it directly or indirectly impacts TPI. The intent is to ensure the sharing partner's access does not exceed their business justified needs.</t>
  </si>
  <si>
    <t>Where the members has an information sharing partner there should be a process, manual or automated, that assists the member in making the decision about sharing information.</t>
  </si>
  <si>
    <t>The one (1) year standard is more lenient than National Archives and Records Administration (NARA) standards prescribed for government institutions.</t>
  </si>
  <si>
    <t>If more sensitive information or information systems are involved then the organization may require a supplemental authentication to ensure the correct user is granted access.</t>
  </si>
  <si>
    <t>The identifier for devices may be an IP address, MAC address or machine name using a standardized naming convention. Identifier using company approved naming conventions may also be applied to groups/roles and individuals (e.g. employee email address, employee identification number). The procedures for managing these identifiers needs to require someone authorize assigning the identifier.</t>
  </si>
  <si>
    <t>The procedures for managing identifiers needs to address how identifiers are selected for individuals, devices, groups, roles.</t>
  </si>
  <si>
    <t>The assignment of identifiers need to be done for the correct individual, group, role or device and the procedures need  to address the correct way to do this.</t>
  </si>
  <si>
    <t>Identifiers cannot be reused and methods to prevent this need to be part of the identifier management procedures.</t>
  </si>
  <si>
    <t>The procedures for managing identifiers needs to ensure inactive identifiers are disabled after they've been inactive after 120 days.</t>
  </si>
  <si>
    <t xml:space="preserve">Whether the development of information systems is done in-house or outsourced a plan for evaluating and testing the security needs to be created. </t>
  </si>
  <si>
    <t xml:space="preserve">The results of security testing and evaluation of newly developed information systems must be documented and available. This is to ensure the </t>
  </si>
  <si>
    <t>This test case is to identify if the development and/or testing environments are higher risk level due to the presence of taxpayer information, which would in turn increase the impact of any vulnerability exploitation.</t>
  </si>
  <si>
    <t>This applies to in-house development or outsourced information system development. In either case there needs to be documented access controls ensuring authorized individuals are granted access.</t>
  </si>
  <si>
    <t>This applies to in-house development or outsourced information system development. In either case there needs to be documented identification and authentication controls ensuring authorized individuals are granted access for the development and test environments.</t>
  </si>
  <si>
    <t>This applies to in-house development or outsourced information system development. In either case audit and accountability needs to be in place and  it needs to mirror the same capability that would be used in production.</t>
  </si>
  <si>
    <t>This applies to in-house development or outsourced information system development must address the security requirements in detail.</t>
  </si>
  <si>
    <r>
      <t xml:space="preserve">Supporting Rationale 
</t>
    </r>
    <r>
      <rPr>
        <i/>
        <sz val="12"/>
        <color theme="0"/>
        <rFont val="Calibri"/>
        <family val="2"/>
        <scheme val="minor"/>
      </rPr>
      <t>Note: This box must be completed if the Status is anything other than "Implemented"</t>
    </r>
  </si>
  <si>
    <t>Additional Notes</t>
  </si>
  <si>
    <t>The organization allocates audit record storage capacity in accordance with [Assignment: organization-defined audit record storage requirements].</t>
  </si>
  <si>
    <t>a. Alerts [Assignment: organization-defined personnel or roles] in the event of an audit processing failure</t>
  </si>
  <si>
    <t>b. Takes the following additional actions: [Assignment: organization-defined actions to be taken (e.g., shut down information system, overwrite oldest audit records, stop generating audit records)].</t>
  </si>
  <si>
    <t xml:space="preserve">1. The procedures define the retention period for audit records generated by the information system to be maintained for, at least one (1) year. 
</t>
  </si>
  <si>
    <t xml:space="preserve">2. The organization retains information system audit records for, at least one (1) year  to provide support for after-the-fact investigations of security incidents and to meet regulatory and organizational information retention requirements.
</t>
  </si>
  <si>
    <t xml:space="preserve">2. Policy or procedures require organization personnel to  report findings in accordance with company policy and state and federal authorities as appropriate. </t>
  </si>
  <si>
    <t>1. For system interconnections, the organization explicitly follows an authorization process (e.g. documenting and approving an Interconnection Security Agreement or ISA).
See CA-1 for SA&amp;A requirements.</t>
  </si>
  <si>
    <t>1. The organization documents identifier management procedures to:
e. Disabling the identifier after 120 days of inactivity.</t>
  </si>
  <si>
    <t>AC-2.08</t>
  </si>
  <si>
    <t>AC-2.09</t>
  </si>
  <si>
    <t>AC-2.10</t>
  </si>
  <si>
    <t>The organization establishes terms and conditions, consistent with any trust relationships established with other organizations owning, operating, and/or maintaining external information systems, allowing authorized individuals to:
b. Process, store, or transmit organization-controlled information using external information systems.</t>
  </si>
  <si>
    <t xml:space="preserve">The organization establishes terms and conditions, consistent with any trust relationships established with other organizations owning, operating, and/or maintaining external information systems, allowing authorized individuals to:
a. Access the information system from external information systems; </t>
  </si>
  <si>
    <t>The information system enforces approved authorizations for logical access to information and system resources in accordance with applicable access control policies.</t>
  </si>
  <si>
    <t>The information system enforces approved authorizations for controlling the flow of information within the system and between interconnected systems based on [Assignment: organization-defined information flow control policies]. See Supplemental Guidance.</t>
  </si>
  <si>
    <t>AT-1.08</t>
  </si>
  <si>
    <t>AT-1.09</t>
  </si>
  <si>
    <t>AT-1.10</t>
  </si>
  <si>
    <t>1. An awareness and training policy is documented and addresses: 
  a. purpose</t>
  </si>
  <si>
    <t>1. An awareness and training policy is documented and addresses:
(b) scope</t>
  </si>
  <si>
    <t>1. An awareness and training policy is documented and addresses: 
(c) roles and responsibilities</t>
  </si>
  <si>
    <t>1. An awareness and training policy is documented and addresses: 
(d) management commitment</t>
  </si>
  <si>
    <t>1. An awareness and training policy is documented and addresses: 
(e)coordination among organization entities</t>
  </si>
  <si>
    <t>1. An awareness and training policy is documented and addresses: 
(f) compliance.</t>
  </si>
  <si>
    <t>2. Procedures: 
  a. are documented and in place to implement the awareness and training policy</t>
  </si>
  <si>
    <t>2. Procedures: 
  b. document procedures to facilitate the implementation of the awareness and training policy and associated awareness and training controls</t>
  </si>
  <si>
    <t>AU-1.10</t>
  </si>
  <si>
    <t>1. An audit and accountability policy is documented and addresses: 
  a. purpose</t>
  </si>
  <si>
    <t>1. An audit and accountability policy is documented and addresses:
(b) scope</t>
  </si>
  <si>
    <t>1. An audit and accountability policy is documented and addresses: 
(c) roles and responsibilities</t>
  </si>
  <si>
    <t>1. An audit and accountability policy is documented and addresses: 
(d) management commitment</t>
  </si>
  <si>
    <t>1. An audit and accountability policy is documented and addresses: 
(e)coordination among organization entities</t>
  </si>
  <si>
    <t>1. An audit and accountability policy is documented and addresses: 
(f) compliance.</t>
  </si>
  <si>
    <t>2. Procedures: 
  a. are documented and in place to implement the audit and accountability policy</t>
  </si>
  <si>
    <t>2. Procedures: 
  b. document procedures to facilitate the implementation of the audit and accountability policy and associated audit and accountability controls</t>
  </si>
  <si>
    <t>1. An assessment and authorization policy is documented and addresses: 
  a. purpose</t>
  </si>
  <si>
    <t>1. An assessment and authorization policy is documented and addresses:
(b) scope</t>
  </si>
  <si>
    <t>1. An assessment and authorization policy is documented and addresses: 
(c) roles and responsibilities</t>
  </si>
  <si>
    <t>1. An assessment and authorization policy is documented and addresses: 
(d) management commitment</t>
  </si>
  <si>
    <t>1. An assessment and authorization policy is documented and addresses: 
(e)coordination among organization entities</t>
  </si>
  <si>
    <t>1. An assessment and authorization policy is documented and addresses: 
(f) compliance.</t>
  </si>
  <si>
    <t>2. Procedures: 
  a. are documented and in place to implement the assessment and authorization policy</t>
  </si>
  <si>
    <t>2. Procedures: 
  b. document procedures to facilitate the implementation of the assessment and authorization policy and associated assessment and authorization controls</t>
  </si>
  <si>
    <t>CA-1.10</t>
  </si>
  <si>
    <t>CM-1.10</t>
  </si>
  <si>
    <t>CP-1.10</t>
  </si>
  <si>
    <t>1. An configuration management policy is documented and addresses: 
  a. purpose</t>
  </si>
  <si>
    <t>1. An configuration management policy is documented and addresses:
(b) scope</t>
  </si>
  <si>
    <t>1. An configuration management policy is documented and addresses: 
(c) roles and responsibilities</t>
  </si>
  <si>
    <t>1. An configuration management policy is documented and addresses: 
(d) management commitment</t>
  </si>
  <si>
    <t>1. An configuration management policy is documented and addresses: 
(e)coordination among organization entities</t>
  </si>
  <si>
    <t>1. An configuration management policy is documented and addresses: 
(f) compliance.</t>
  </si>
  <si>
    <t>2. Procedures: 
  a. are documented and in place to implement the configuration management policy</t>
  </si>
  <si>
    <t>2. Procedures: 
  b. document procedures to facilitate the implementation of the configuration management policy and associated configuration management controls</t>
  </si>
  <si>
    <t>1. An contingency planning policy is documented and addresses: 
  a. purpose</t>
  </si>
  <si>
    <t>1. An contingency planning policy is documented and addresses:
(b) scope</t>
  </si>
  <si>
    <t>1. An contingency planning policy is documented and addresses: 
(c) roles and responsibilities</t>
  </si>
  <si>
    <t>1. An contingency planning policy is documented and addresses: 
(d) management commitment</t>
  </si>
  <si>
    <t>1. An contingency planning policy is documented and addresses: 
(e)coordination among organization entities</t>
  </si>
  <si>
    <t>1. An contingency planning policy is documented and addresses: 
(f) compliance.</t>
  </si>
  <si>
    <t>2. Procedures: 
  a. are documented and in place to implement the contingency planning policy</t>
  </si>
  <si>
    <t>2. Procedures: 
  b. document procedures to facilitate the implementation of the contingency planning policy and associated contingency planning controls</t>
  </si>
  <si>
    <t>1. An identification and authentication policy is documented and addresses: 
  a. purpose</t>
  </si>
  <si>
    <t>1. An identification and authentication policy is documented and addresses:
(b) scope</t>
  </si>
  <si>
    <t>1. An identification and authentication policy is documented and addresses: 
(c) roles and responsibilities</t>
  </si>
  <si>
    <t>1. An identification and authentication policy is documented and addresses: 
(d) management commitment</t>
  </si>
  <si>
    <t>1. An identification and authentication policy is documented and addresses: 
(e)coordination among organization entities</t>
  </si>
  <si>
    <t>1. An identification and authentication policy is documented and addresses: 
(f) compliance.</t>
  </si>
  <si>
    <t>2. Procedures: 
  a. are documented and in place to implement the identification and authentication policy</t>
  </si>
  <si>
    <t>2. Procedures: 
  b. document procedures to facilitate the implementation of the identification and authentication policy and associated identification and authentication controls</t>
  </si>
  <si>
    <t>IA-1.10</t>
  </si>
  <si>
    <t>1. An incident response policy is documented and addresses: 
  a. purpose</t>
  </si>
  <si>
    <t>1. An incident response policy is documented and addresses:
(b) scope</t>
  </si>
  <si>
    <t>1. An incident response policy is documented and addresses: 
(c) roles and responsibilities</t>
  </si>
  <si>
    <t>1. An incident response policy is documented and addresses: 
(d) management commitment</t>
  </si>
  <si>
    <t>1. An incident response policy is documented and addresses: 
(e)coordination among organization entities</t>
  </si>
  <si>
    <t>1. An incident response policy is documented and addresses: 
(f) compliance.</t>
  </si>
  <si>
    <t>2. Procedures: 
  a. are documented and in place to implement the incident response policy</t>
  </si>
  <si>
    <t>2. Procedures: 
  b. document procedures to facilitate the implementation of the incident response policy and associated incident response controls</t>
  </si>
  <si>
    <t>1. An system maintenance policy is documented and addresses: 
  a. purpose</t>
  </si>
  <si>
    <t>1. An system maintenance policy is documented and addresses:
(b) scope</t>
  </si>
  <si>
    <t>1. An system maintenance policy is documented and addresses: 
(c) roles and responsibilities</t>
  </si>
  <si>
    <t>1. An system maintenance policy is documented and addresses: 
(d) management commitment</t>
  </si>
  <si>
    <t>1. An system maintenance policy is documented and addresses: 
(e)coordination among organization entities</t>
  </si>
  <si>
    <t>1. An system maintenance policy is documented and addresses: 
(f) compliance.</t>
  </si>
  <si>
    <t>2. Procedures: 
  a. are documented and in place to implement the system maintenance policy</t>
  </si>
  <si>
    <t>2. Procedures: 
  b. document procedures to facilitate the implementation of the system maintenance policy and associated system maintenance controls</t>
  </si>
  <si>
    <t>MA-1.10</t>
  </si>
  <si>
    <t>IR-8.11</t>
  </si>
  <si>
    <t>IR-8.12</t>
  </si>
  <si>
    <t>IR-8.13</t>
  </si>
  <si>
    <t>1. An media protection policy is documented and addresses: 
  a. purpose</t>
  </si>
  <si>
    <t>1. An media protection policy is documented and addresses:
(b) scope</t>
  </si>
  <si>
    <t>1. An media protection policy is documented and addresses: 
(c) roles and responsibilities</t>
  </si>
  <si>
    <t>1. An media protection policy is documented and addresses: 
(d) management commitment</t>
  </si>
  <si>
    <t>1. An media protection policy is documented and addresses: 
(e)coordination among organization entities</t>
  </si>
  <si>
    <t>1. An media protection policy is documented and addresses: 
(f) compliance.</t>
  </si>
  <si>
    <t>2. Procedures: 
  a. are documented and in place to implement the media protection policy</t>
  </si>
  <si>
    <t>2. Procedures: 
  b. document procedures to facilitate the implementation of the media protection policy and associated media protection controls</t>
  </si>
  <si>
    <t>PE-1.08</t>
  </si>
  <si>
    <t>PE-1.09</t>
  </si>
  <si>
    <t>PE-1.10</t>
  </si>
  <si>
    <t>1. An physical and environmental protection policy is documented and addresses: 
  a. purpose</t>
  </si>
  <si>
    <t>1. An physical and environmental protection policy is documented and addresses:
(b) scope</t>
  </si>
  <si>
    <t>1. An physical and environmental protection policy is documented and addresses: 
(c) roles and responsibilities</t>
  </si>
  <si>
    <t>1. An physical and environmental protection policy is documented and addresses: 
(d) management commitment</t>
  </si>
  <si>
    <t>1. An physical and environmental protection policy is documented and addresses: 
(e)coordination among organization entities</t>
  </si>
  <si>
    <t>1. An physical and environmental protection policy is documented and addresses: 
(f) compliance.</t>
  </si>
  <si>
    <t>2. Procedures: 
  a. are documented and in place to implement the physical and environmental protection policy</t>
  </si>
  <si>
    <t>2. Procedures: 
  b. document procedures to facilitate the implementation of the physical and environmental protection policy and associated physical and environmental protection controls</t>
  </si>
  <si>
    <t>PL-1.10</t>
  </si>
  <si>
    <t>1. An security planning policy is documented and addresses: 
  a. purpose</t>
  </si>
  <si>
    <t>1. An security planning policy is documented and addresses:
(b) scope</t>
  </si>
  <si>
    <t>1. An security planning policy is documented and addresses: 
(c) roles and responsibilities</t>
  </si>
  <si>
    <t>1. An security planning policy is documented and addresses: 
(d) management commitment</t>
  </si>
  <si>
    <t>1. An security planning policy is documented and addresses: 
(e)coordination among organization entities</t>
  </si>
  <si>
    <t>1. An security planning policy is documented and addresses: 
(f) compliance.</t>
  </si>
  <si>
    <t>2. Procedures: 
  a. are documented and in place to implement the security planning policy</t>
  </si>
  <si>
    <t>2. Procedures: 
  b. document procedures to facilitate the implementation of the security planning policy and associated security planning controls</t>
  </si>
  <si>
    <t>2. Procedures: 
  a. are documented and in place to implement the personnel security policy</t>
  </si>
  <si>
    <t>2. Procedures: 
  b. document procedures to facilitate the implementation of the personnel security policy and associated personnel security controls</t>
  </si>
  <si>
    <t>RA-1.10</t>
  </si>
  <si>
    <t>2. Procedures: 
  a. are documented and in place to implement the risk assessment policy</t>
  </si>
  <si>
    <t>2. Procedures: 
  b. document procedures to facilitate the implementation of the risk assessment policy and associated risk assessment controls</t>
  </si>
  <si>
    <t>1. A risk assessment policy is documented and addresses: 
  a. purpose</t>
  </si>
  <si>
    <t>1. A risk assessment policy is documented and addresses:
(b) scope</t>
  </si>
  <si>
    <t>1. A risk assessment policy is documented and addresses: 
(c) roles and responsibilities</t>
  </si>
  <si>
    <t>1. A risk assessment policy is documented and addresses: 
(d) management commitment</t>
  </si>
  <si>
    <t>1. A risk assessment policy is documented and addresses: 
(e)coordination among organization entities</t>
  </si>
  <si>
    <t>1. A risk assessment policy is documented and addresses: 
(f) compliance.</t>
  </si>
  <si>
    <t>1. A security security policy is documented and addresses: 
  a. purpose</t>
  </si>
  <si>
    <t>1. A security security policy is documented and addresses:
(b) scope</t>
  </si>
  <si>
    <t>1. A security security policy is documented and addresses: 
(c) roles and responsibilities</t>
  </si>
  <si>
    <t>1. A security security policy is documented and addresses: 
(d) management commitment</t>
  </si>
  <si>
    <t>1. A security security policy is documented and addresses: 
(e)coordination among organization entities</t>
  </si>
  <si>
    <t>1. A security security policy is documented and addresses: 
(f) compliance.</t>
  </si>
  <si>
    <t>1. A system and services acquisition policy is documented and addresses: 
  a. purpose</t>
  </si>
  <si>
    <t>1. A system and services acquisition policy is documented and addresses:
(b) scope</t>
  </si>
  <si>
    <t>1. A system and services acquisition policy is documented and addresses: 
(c) roles and responsibilities</t>
  </si>
  <si>
    <t>1. A system and services acquisition policy is documented and addresses: 
(d) management commitment</t>
  </si>
  <si>
    <t>1. A system and services acquisition policy is documented and addresses: 
(e)coordination among organization entities</t>
  </si>
  <si>
    <t>1. A system and services acquisition policy is documented and addresses: 
(f) compliance.</t>
  </si>
  <si>
    <t>2. Procedures: 
  a. are documented and in place to implement the system and services acquisition policy</t>
  </si>
  <si>
    <t>2. Procedures: 
  b. document procedures to facilitate the implementation of the system and services acquisition policy and associated system and services acquisition controls</t>
  </si>
  <si>
    <t>SA-1.10</t>
  </si>
  <si>
    <t>SC-1.10</t>
  </si>
  <si>
    <t>1. A system and communications protection policy is documented and addresses: 
  a. purpose</t>
  </si>
  <si>
    <t>1. A system and communications protection policy is documented and addresses:
(b) scope</t>
  </si>
  <si>
    <t>1. A system and communications protection policy is documented and addresses: 
(c) roles and responsibilities</t>
  </si>
  <si>
    <t>1. A system and communications protection policy is documented and addresses: 
(d) management commitment</t>
  </si>
  <si>
    <t>1. A system and communications protection policy is documented and addresses: 
(e)coordination among organization entities</t>
  </si>
  <si>
    <t>1. A system and communications protection policy is documented and addresses: 
(f) compliance.</t>
  </si>
  <si>
    <t>2. Procedures: 
  a. are documented and in place to implement the system and communications protection policy</t>
  </si>
  <si>
    <t>2. Procedures: 
  b. document procedures to facilitate the implementation of the system and communications protection policy and associated system and communications protection controls</t>
  </si>
  <si>
    <t>SI-1.10</t>
  </si>
  <si>
    <t>1. A system and information integrity policy is documented and addresses: 
  a. purpose</t>
  </si>
  <si>
    <t>1. A system and information integrity policy is documented and addresses:
(b) scope</t>
  </si>
  <si>
    <t>1. A system and information integrity policy is documented and addresses: 
(c) roles and responsibilities</t>
  </si>
  <si>
    <t>1. A system and information integrity policy is documented and addresses: 
(d) management commitment</t>
  </si>
  <si>
    <t>1. A system and information integrity policy is documented and addresses: 
(e)coordination among organization entities</t>
  </si>
  <si>
    <t>1. A system and information integrity policy is documented and addresses: 
(f) compliance.</t>
  </si>
  <si>
    <t>2. Procedures: 
  a. are documented and in place to implement the system and information integrity policy</t>
  </si>
  <si>
    <t>2. Procedures: 
  b. document procedures to facilitate the implementation of the system and information integrity policy and associated system and information integrity controls</t>
  </si>
  <si>
    <t xml:space="preserve">The organization positions information system components within the facility to minimize potential damage from [Assignment: organization-defined physical and environmental hazards] and to minimize the opportunity for unauthorized access. </t>
  </si>
  <si>
    <t>3. Security controls are in place to protect the confidentiality of Taxpayer Information in the environment:</t>
  </si>
  <si>
    <t>This applies to in-house development or outsourced information system development. In either case all taxpayer information in transit needs to be encrypted to protect the confidentiality of the data.</t>
  </si>
  <si>
    <t>1. Procedures address mobile device usage or restrictions. If Taxpayer Information is not accessible via mobile device, an organization policy prohibiting access to Taxpayer Information from mobile devices is satisfactory to meet this test requirement.
Note: The requirements above are specific to policy and procedure requirements.  Full technical requirements are described in the Safeguards Mobile Device SCSEM, which is applicable only to states.</t>
  </si>
  <si>
    <t>CCI-000100</t>
  </si>
  <si>
    <t>CCI-000103</t>
  </si>
  <si>
    <t>2. Compliance check results from reflect restrictive configuration settings are applied to the systems which receive, process, store or transmit Taxpayer Information.</t>
  </si>
  <si>
    <t>CCI-000001</t>
  </si>
  <si>
    <t>CCI-000004</t>
  </si>
  <si>
    <t>CCI-002109</t>
  </si>
  <si>
    <t>CCI-002269</t>
  </si>
  <si>
    <t>CCI-002271</t>
  </si>
  <si>
    <t>CCI-002310</t>
  </si>
  <si>
    <t>CCI-002311</t>
  </si>
  <si>
    <t>CCI-002312</t>
  </si>
  <si>
    <t>CCI-000065</t>
  </si>
  <si>
    <t>CCI-000070</t>
  </si>
  <si>
    <t>CCI-000069</t>
  </si>
  <si>
    <t>CCI-000066</t>
  </si>
  <si>
    <t>CCI-000011</t>
  </si>
  <si>
    <t>CCI-002118</t>
  </si>
  <si>
    <t>CCI-000014</t>
  </si>
  <si>
    <t>CCI-000213</t>
  </si>
  <si>
    <t>CCI-000093</t>
  </si>
  <si>
    <t>CCI-000098</t>
  </si>
  <si>
    <t>CCI-002234</t>
  </si>
  <si>
    <t>CCI-002235</t>
  </si>
  <si>
    <t>CCI-000225</t>
  </si>
  <si>
    <t>CCI-002055</t>
  </si>
  <si>
    <t>CCI-001831</t>
  </si>
  <si>
    <t>CCI-001833</t>
  </si>
  <si>
    <t>CCI-000168</t>
  </si>
  <si>
    <t>CCI-000167</t>
  </si>
  <si>
    <t>CCI-000149</t>
  </si>
  <si>
    <t>CCI-001891</t>
  </si>
  <si>
    <t>CCI-001892</t>
  </si>
  <si>
    <t>CCI-000242</t>
  </si>
  <si>
    <t>CCI-000243</t>
  </si>
  <si>
    <t>The organization develops, documents, and maintains under configuration control, a current baseline configuration of the information system.</t>
  </si>
  <si>
    <t>CCI-000005</t>
  </si>
  <si>
    <t>CCI-001545</t>
  </si>
  <si>
    <t>CCI-002262</t>
  </si>
  <si>
    <t>CCI-002263</t>
  </si>
  <si>
    <t>CCI-002264</t>
  </si>
  <si>
    <t>CCI-002265</t>
  </si>
  <si>
    <t>CCI-002266</t>
  </si>
  <si>
    <t>CCI-000068</t>
  </si>
  <si>
    <t>CCI-001453</t>
  </si>
  <si>
    <t>CCI-001438</t>
  </si>
  <si>
    <t>CCI-001439</t>
  </si>
  <si>
    <t>CCI-002323</t>
  </si>
  <si>
    <t>CCI-001443</t>
  </si>
  <si>
    <t>CCI-001444</t>
  </si>
  <si>
    <t>CCI-000083</t>
  </si>
  <si>
    <t>CCI-000084</t>
  </si>
  <si>
    <t>CCI-000085</t>
  </si>
  <si>
    <t>CCI-000086</t>
  </si>
  <si>
    <t>CCI-000087</t>
  </si>
  <si>
    <t>CCI-000009</t>
  </si>
  <si>
    <t>CCI-002114</t>
  </si>
  <si>
    <t>CCI-002115</t>
  </si>
  <si>
    <t>CCI-002116</t>
  </si>
  <si>
    <t>CCI-002117</t>
  </si>
  <si>
    <t>CCI-002119</t>
  </si>
  <si>
    <t>CCI-001547</t>
  </si>
  <si>
    <t>CCI-000012</t>
  </si>
  <si>
    <t>CCI-000094</t>
  </si>
  <si>
    <t>CCI-001465</t>
  </si>
  <si>
    <t>CCI-001466</t>
  </si>
  <si>
    <t>CCI-001472</t>
  </si>
  <si>
    <t>CCI-001471</t>
  </si>
  <si>
    <t>CCI-001548</t>
  </si>
  <si>
    <t>CCI-001549</t>
  </si>
  <si>
    <t>CCI-001550</t>
  </si>
  <si>
    <t>CCI-001551</t>
  </si>
  <si>
    <t>CCI-001414</t>
  </si>
  <si>
    <t>CCI-001368</t>
  </si>
  <si>
    <t>CCI-000025</t>
  </si>
  <si>
    <t>CCI-000036</t>
  </si>
  <si>
    <t>CCI-001380</t>
  </si>
  <si>
    <t>CCI-000037</t>
  </si>
  <si>
    <t>CCI-002219</t>
  </si>
  <si>
    <t>CCI-002220</t>
  </si>
  <si>
    <t>CCI-001558</t>
  </si>
  <si>
    <t>CCI-000038</t>
  </si>
  <si>
    <t>CCI-001419</t>
  </si>
  <si>
    <t>CCI-000039</t>
  </si>
  <si>
    <t>CCI-000040</t>
  </si>
  <si>
    <t>CCI-000044</t>
  </si>
  <si>
    <t>CCI-000046</t>
  </si>
  <si>
    <t>CCI-000047</t>
  </si>
  <si>
    <t>CCI-001382</t>
  </si>
  <si>
    <t>CCI-001565</t>
  </si>
  <si>
    <t>CCI-000105</t>
  </si>
  <si>
    <t>CCI-001835</t>
  </si>
  <si>
    <t>CCI-001836</t>
  </si>
  <si>
    <t>CCI-001837</t>
  </si>
  <si>
    <t>CCI-001838</t>
  </si>
  <si>
    <t>CCI-001839</t>
  </si>
  <si>
    <t>CCI-001840</t>
  </si>
  <si>
    <t>CCI-001841</t>
  </si>
  <si>
    <t>CCI-001842</t>
  </si>
  <si>
    <t>CCI-001338</t>
  </si>
  <si>
    <t>CCI-001899</t>
  </si>
  <si>
    <t>CCI-001459</t>
  </si>
  <si>
    <t>CCI-000169</t>
  </si>
  <si>
    <t>CCI-000171</t>
  </si>
  <si>
    <t>CCI-000172</t>
  </si>
  <si>
    <t>CCI-001486</t>
  </si>
  <si>
    <t>CCI-000127</t>
  </si>
  <si>
    <t>CCI-000128</t>
  </si>
  <si>
    <t>CCI-001843</t>
  </si>
  <si>
    <t>CCI-001488</t>
  </si>
  <si>
    <t>CCI-000135</t>
  </si>
  <si>
    <t>CCI-001848</t>
  </si>
  <si>
    <t>CCI-001849</t>
  </si>
  <si>
    <t>CCI-001572</t>
  </si>
  <si>
    <t>CCI-000139</t>
  </si>
  <si>
    <t>CCI-001490</t>
  </si>
  <si>
    <t>CCI-000140</t>
  </si>
  <si>
    <t>CCI-000151</t>
  </si>
  <si>
    <t>CCI-000148</t>
  </si>
  <si>
    <t>CCI-001875</t>
  </si>
  <si>
    <t>CCI-001876</t>
  </si>
  <si>
    <t>CCI-001877</t>
  </si>
  <si>
    <t>CCI-001878</t>
  </si>
  <si>
    <t>CCI-001879</t>
  </si>
  <si>
    <t>CCI-001880</t>
  </si>
  <si>
    <t>CCI-001881</t>
  </si>
  <si>
    <t>CCI-001882</t>
  </si>
  <si>
    <t>CCI-001351</t>
  </si>
  <si>
    <t>CCI-001352</t>
  </si>
  <si>
    <t>CCI-001894</t>
  </si>
  <si>
    <t>CCI-000239</t>
  </si>
  <si>
    <t>CCI-002060</t>
  </si>
  <si>
    <t>CCI-000238</t>
  </si>
  <si>
    <t>CCI-000241</t>
  </si>
  <si>
    <t>CCI-001578</t>
  </si>
  <si>
    <t>CCI-000244</t>
  </si>
  <si>
    <t>CCI-000245</t>
  </si>
  <si>
    <t>CCI-000246</t>
  </si>
  <si>
    <t>CCI-000247</t>
  </si>
  <si>
    <t>CCI-000248</t>
  </si>
  <si>
    <t>CCI-000249</t>
  </si>
  <si>
    <t>AT-3</t>
  </si>
  <si>
    <t>ROLE-BASED SECURITY TRAINING</t>
  </si>
  <si>
    <t>AT-3.1</t>
  </si>
  <si>
    <t xml:space="preserve">The organization provides role-based security training to personnel with assigned security roles and responsibilities:
a. Before authorizing access to the information system or performing assigned duties;
</t>
  </si>
  <si>
    <t>AT-3.2</t>
  </si>
  <si>
    <t>The organization provides role-based security training to personnel with assigned security roles and responsibilities:
b. When required by information system changes; and</t>
  </si>
  <si>
    <t>AT-3.3</t>
  </si>
  <si>
    <t xml:space="preserve">The organization provides role-based security training to personnel with assigned security roles and responsibilities:
c. [Assignment: organization-defined frequency] thereafter.
</t>
  </si>
  <si>
    <t>PS-4</t>
  </si>
  <si>
    <t>PERSONNEL TERMINATION</t>
  </si>
  <si>
    <t>PS-4.1</t>
  </si>
  <si>
    <t xml:space="preserve">Determine if the organization:   upon termination of individual employment:
a. Disables information system access within [Assignment: organization-defined time period];
</t>
  </si>
  <si>
    <t xml:space="preserve">Supplemental Guidance:  Information system-related property includes, for example,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information system-related property. Security topics of interest at exit interviews can include, for example, reminding terminated individuals of nondisclosure agreements and potential limitations on future employment. Exit interviews may not be possible for some terminated individuals, for example, in cases related to job abandonment, illnesses, and nonavailability of supervisors. Exit interviews are important for individuals with security clearances. Timely execution of termination actions is essential for individuals terminated for cause. In certain situations, organizations consider disabling the information system accounts of individuals that are being terminated prior to the individuals being notified. </t>
  </si>
  <si>
    <t>PS-4.2</t>
  </si>
  <si>
    <t xml:space="preserve">Determine if the organization:   upon termination of individual employment:
b. Terminates/revokes any authenticators/credentials associated with the individual;
</t>
  </si>
  <si>
    <t>PS-4.3</t>
  </si>
  <si>
    <t xml:space="preserve">Determine if the organization:   upon termination of individual employment:
c. Conducts exit interviews that include a discussion of [Assignment: organization-defined information security topics];
</t>
  </si>
  <si>
    <t>PS-4.4</t>
  </si>
  <si>
    <t>Determine if the organization:   upon termination of individual employment:
d. Retrieves all security-related organizational information system-related property;</t>
  </si>
  <si>
    <t>PS-4.5</t>
  </si>
  <si>
    <t xml:space="preserve">Determine if the organization:   upon termination of individual employment:
e. Retains access to organizational information and information systems formerly controlled by terminated individual; and
</t>
  </si>
  <si>
    <t>PS-4.6</t>
  </si>
  <si>
    <t>Determine if the organization:   upon termination of individual employment:
f. Notifies [Assignment: organization-defined personnel or roles] within [Assignment: organization-defined time period].</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</si>
</sst>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2"/>
      <color theme="1"/>
      <name val="Calibri"/>
      <family val="2"/>
      <scheme val="minor"/>
    </font>
    <font>
      <u/>
      <sz val="11"/>
      <color theme="10"/>
      <name val="Calibri"/>
      <family val="2"/>
      <scheme val="minor"/>
    </font>
    <font>
      <sz val="10"/>
      <color theme="1"/>
      <name val="Calibri"/>
      <family val="2"/>
      <scheme val="minor"/>
    </font>
    <font>
      <sz val="10"/>
      <color rgb="FF00B0F0"/>
      <name val="Calibri"/>
      <family val="2"/>
      <scheme val="minor"/>
    </font>
    <font>
      <sz val="10"/>
      <color rgb="FFFFC00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Calibri"/>
      <family val="2"/>
      <scheme val="minor"/>
    </font>
    <font>
      <i/>
      <sz val="10"/>
      <name val="Calibri"/>
      <family val="2"/>
      <scheme val="minor"/>
    </font>
    <font>
      <sz val="14"/>
      <color theme="1"/>
      <name val="Calibri"/>
      <family val="2"/>
      <scheme val="minor"/>
    </font>
    <font>
      <sz val="11"/>
      <name val="Calibri"/>
      <family val="2"/>
      <scheme val="minor"/>
    </font>
    <font>
      <b/>
      <sz val="14"/>
      <color theme="0"/>
      <name val="Calibri"/>
      <family val="2"/>
      <scheme val="minor"/>
    </font>
    <font>
      <i/>
      <sz val="10"/>
      <color theme="0"/>
      <name val="Calibri"/>
      <family val="2"/>
      <scheme val="minor"/>
    </font>
    <font>
      <i/>
      <sz val="12"/>
      <color theme="0"/>
      <name val="Calibri"/>
      <family val="2"/>
      <scheme val="minor"/>
    </font>
    <font>
      <sz val="12"/>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sz val="12"/>
      <color theme="0"/>
      <name val="Calibri"/>
      <family val="2"/>
      <scheme val="minor"/>
    </font>
    <font>
      <b/>
      <sz val="16"/>
      <color theme="1"/>
      <name val="Calibri"/>
      <family val="2"/>
      <scheme val="minor"/>
    </font>
    <font>
      <sz val="8"/>
      <color theme="1"/>
      <name val="Calibri"/>
      <family val="2"/>
      <scheme val="minor"/>
    </font>
    <font>
      <sz val="11"/>
      <color theme="8" tint="-0.499984740745262"/>
      <name val="Calibri"/>
      <family val="2"/>
      <scheme val="minor"/>
    </font>
    <font>
      <b/>
      <sz val="10"/>
      <color indexed="9"/>
      <name val="Arial"/>
      <family val="2"/>
    </font>
    <font>
      <b/>
      <sz val="10"/>
      <name val="Arial"/>
      <family val="2"/>
    </font>
    <font>
      <b/>
      <sz val="9"/>
      <color indexed="9"/>
      <name val="Arial"/>
      <family val="2"/>
    </font>
    <font>
      <sz val="11"/>
      <color theme="1"/>
      <name val="Arial"/>
      <family val="2"/>
    </font>
    <font>
      <sz val="10"/>
      <color rgb="FFFF0000"/>
      <name val="Calibri"/>
      <family val="2"/>
      <scheme val="minor"/>
    </font>
    <font>
      <sz val="11"/>
      <name val="Aharoni"/>
      <charset val="177"/>
    </font>
    <font>
      <sz val="11"/>
      <color rgb="FF00B0F0"/>
      <name val="Aharoni"/>
      <charset val="177"/>
    </font>
    <font>
      <sz val="11"/>
      <color theme="1"/>
      <name val="Aharoni"/>
      <charset val="177"/>
    </font>
    <font>
      <sz val="10"/>
      <color rgb="FF0070C0"/>
      <name val="Calibri"/>
      <family val="2"/>
      <scheme val="minor"/>
    </font>
  </fonts>
  <fills count="18">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indexed="6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bgColor indexed="64"/>
      </patternFill>
    </fill>
    <fill>
      <patternFill patternType="solid">
        <fgColor rgb="FF99FF99"/>
        <bgColor indexed="64"/>
      </patternFill>
    </fill>
    <fill>
      <patternFill patternType="solid">
        <fgColor rgb="FFFF9999"/>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theme="7"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7">
    <xf numFmtId="0" fontId="0" fillId="0" borderId="0"/>
    <xf numFmtId="0" fontId="2" fillId="0" borderId="0" applyNumberFormat="0" applyFill="0" applyBorder="0" applyAlignment="0" applyProtection="0"/>
    <xf numFmtId="0" fontId="7" fillId="0" borderId="0"/>
    <xf numFmtId="0" fontId="9" fillId="0" borderId="0" applyNumberFormat="0" applyFill="0" applyBorder="0" applyAlignment="0" applyProtection="0">
      <alignment vertical="top"/>
      <protection locked="0"/>
    </xf>
    <xf numFmtId="0" fontId="8" fillId="0" borderId="0"/>
    <xf numFmtId="0" fontId="6" fillId="0" borderId="0"/>
    <xf numFmtId="0" fontId="7" fillId="0" borderId="0"/>
  </cellStyleXfs>
  <cellXfs count="145">
    <xf numFmtId="0" fontId="0" fillId="0" borderId="0" xfId="0"/>
    <xf numFmtId="0" fontId="0" fillId="0" borderId="0" xfId="0" applyFont="1" applyFill="1"/>
    <xf numFmtId="0" fontId="0" fillId="0" borderId="0" xfId="0" applyFont="1" applyFill="1" applyAlignment="1">
      <alignment wrapText="1"/>
    </xf>
    <xf numFmtId="0" fontId="4" fillId="0" borderId="0" xfId="0" applyFont="1" applyFill="1" applyAlignment="1">
      <alignment vertical="center"/>
    </xf>
    <xf numFmtId="0" fontId="3" fillId="0" borderId="1" xfId="0" applyFont="1" applyFill="1" applyBorder="1" applyAlignment="1">
      <alignment vertical="center" wrapText="1"/>
    </xf>
    <xf numFmtId="0" fontId="5"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10" fillId="0" borderId="1" xfId="4" applyFont="1" applyFill="1" applyBorder="1" applyAlignment="1" applyProtection="1">
      <alignment horizontal="left" vertical="top" wrapText="1"/>
      <protection locked="0"/>
    </xf>
    <xf numFmtId="0" fontId="10" fillId="0" borderId="1" xfId="0" applyFont="1" applyFill="1" applyBorder="1" applyAlignment="1">
      <alignment vertical="center" wrapText="1"/>
    </xf>
    <xf numFmtId="0" fontId="10" fillId="0" borderId="1" xfId="0" applyFont="1" applyFill="1" applyBorder="1" applyAlignment="1">
      <alignment vertical="top" wrapText="1"/>
    </xf>
    <xf numFmtId="0" fontId="13" fillId="0" borderId="0" xfId="0" applyFont="1" applyFill="1"/>
    <xf numFmtId="0" fontId="10" fillId="0" borderId="2" xfId="4" applyFont="1" applyFill="1" applyBorder="1" applyAlignment="1" applyProtection="1">
      <alignment horizontal="left" vertical="top" wrapText="1"/>
      <protection locked="0"/>
    </xf>
    <xf numFmtId="0" fontId="4" fillId="0" borderId="1" xfId="0" applyFont="1" applyFill="1" applyBorder="1" applyAlignment="1">
      <alignment vertical="center" wrapText="1"/>
    </xf>
    <xf numFmtId="0" fontId="0" fillId="0" borderId="0" xfId="0" applyFont="1" applyFill="1" applyBorder="1" applyAlignment="1">
      <alignment wrapText="1"/>
    </xf>
    <xf numFmtId="0" fontId="3" fillId="0" borderId="2" xfId="0" applyFont="1" applyFill="1" applyBorder="1" applyAlignment="1">
      <alignment horizontal="center" vertical="center" wrapText="1"/>
    </xf>
    <xf numFmtId="0" fontId="14" fillId="2" borderId="3" xfId="4"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4" fillId="2" borderId="4" xfId="4" applyFont="1" applyFill="1" applyBorder="1" applyAlignment="1" applyProtection="1">
      <alignment horizontal="center" vertical="center" wrapText="1"/>
      <protection locked="0"/>
    </xf>
    <xf numFmtId="0" fontId="0" fillId="0" borderId="0" xfId="0" applyAlignment="1">
      <alignment vertical="top" wrapText="1"/>
    </xf>
    <xf numFmtId="0" fontId="0" fillId="0" borderId="0" xfId="0" applyAlignment="1">
      <alignment vertical="center"/>
    </xf>
    <xf numFmtId="0" fontId="12" fillId="0" borderId="0" xfId="0" applyFont="1" applyAlignment="1">
      <alignment horizontal="center" vertical="center"/>
    </xf>
    <xf numFmtId="0" fontId="10" fillId="0" borderId="2" xfId="0" applyFont="1" applyFill="1" applyBorder="1" applyAlignment="1">
      <alignment vertical="center" wrapText="1"/>
    </xf>
    <xf numFmtId="0" fontId="10" fillId="0" borderId="2" xfId="0" applyFont="1" applyFill="1" applyBorder="1" applyAlignment="1">
      <alignment vertical="top" wrapText="1"/>
    </xf>
    <xf numFmtId="0" fontId="18" fillId="0" borderId="5" xfId="0" applyFont="1" applyBorder="1" applyAlignment="1">
      <alignment horizontal="center"/>
    </xf>
    <xf numFmtId="0" fontId="0" fillId="0" borderId="6" xfId="0" applyBorder="1"/>
    <xf numFmtId="0" fontId="0" fillId="0" borderId="8" xfId="0" applyBorder="1"/>
    <xf numFmtId="0" fontId="0" fillId="0" borderId="9" xfId="0" applyBorder="1"/>
    <xf numFmtId="0" fontId="0" fillId="0" borderId="10" xfId="0" applyBorder="1"/>
    <xf numFmtId="0" fontId="2" fillId="0" borderId="0" xfId="1"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7" xfId="0" applyBorder="1"/>
    <xf numFmtId="0" fontId="0" fillId="0" borderId="0" xfId="0" applyAlignment="1" applyProtection="1">
      <alignment vertical="center"/>
      <protection locked="0"/>
    </xf>
    <xf numFmtId="0" fontId="24" fillId="0" borderId="0" xfId="0" applyFont="1" applyBorder="1"/>
    <xf numFmtId="0" fontId="0" fillId="0" borderId="14" xfId="0" applyBorder="1"/>
    <xf numFmtId="0" fontId="19" fillId="0" borderId="0" xfId="0" applyFont="1" applyAlignment="1">
      <alignment horizontal="center" vertical="center"/>
    </xf>
    <xf numFmtId="0" fontId="19" fillId="0" borderId="0" xfId="0" applyFont="1" applyAlignment="1">
      <alignment horizontal="center" vertical="top" wrapText="1"/>
    </xf>
    <xf numFmtId="0" fontId="19" fillId="0" borderId="0" xfId="0" applyFont="1" applyAlignment="1">
      <alignment horizontal="center"/>
    </xf>
    <xf numFmtId="0" fontId="25" fillId="4" borderId="15" xfId="0" applyFont="1" applyFill="1" applyBorder="1" applyAlignment="1">
      <alignment horizontal="center" vertical="center" wrapText="1"/>
    </xf>
    <xf numFmtId="0" fontId="25" fillId="4" borderId="2" xfId="0" applyFont="1" applyFill="1" applyBorder="1" applyAlignment="1">
      <alignment horizontal="center" vertical="center"/>
    </xf>
    <xf numFmtId="0" fontId="0" fillId="6" borderId="0" xfId="0" applyFill="1"/>
    <xf numFmtId="0" fontId="26" fillId="7" borderId="1" xfId="0" applyFont="1" applyFill="1" applyBorder="1" applyAlignment="1">
      <alignment horizontal="right" vertical="center"/>
    </xf>
    <xf numFmtId="0" fontId="7" fillId="8" borderId="1" xfId="0" applyFont="1" applyFill="1" applyBorder="1" applyAlignment="1">
      <alignment vertical="center"/>
    </xf>
    <xf numFmtId="0" fontId="7" fillId="9" borderId="1" xfId="0" applyFont="1" applyFill="1" applyBorder="1" applyAlignment="1">
      <alignment vertical="center"/>
    </xf>
    <xf numFmtId="0" fontId="7" fillId="10" borderId="1" xfId="0" applyFont="1" applyFill="1" applyBorder="1" applyAlignment="1">
      <alignment vertical="center"/>
    </xf>
    <xf numFmtId="0" fontId="7" fillId="11" borderId="1" xfId="0" applyFont="1" applyFill="1" applyBorder="1" applyAlignment="1">
      <alignment vertical="center"/>
    </xf>
    <xf numFmtId="0" fontId="7" fillId="12" borderId="1" xfId="0" applyFont="1" applyFill="1" applyBorder="1" applyAlignment="1">
      <alignment vertical="center"/>
    </xf>
    <xf numFmtId="0" fontId="27" fillId="4" borderId="2" xfId="0" applyFont="1" applyFill="1" applyBorder="1" applyAlignment="1">
      <alignment horizontal="center" vertical="center"/>
    </xf>
    <xf numFmtId="0" fontId="25" fillId="4"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5" fillId="4" borderId="17" xfId="0" applyFont="1" applyFill="1" applyBorder="1" applyAlignment="1">
      <alignment horizontal="center" vertical="center"/>
    </xf>
    <xf numFmtId="0" fontId="25" fillId="4" borderId="17" xfId="0" applyFont="1" applyFill="1" applyBorder="1" applyAlignment="1">
      <alignment horizontal="center" vertical="center" wrapText="1"/>
    </xf>
    <xf numFmtId="1" fontId="7" fillId="12" borderId="1" xfId="0" applyNumberFormat="1" applyFont="1" applyFill="1" applyBorder="1" applyAlignment="1">
      <alignment horizontal="right" vertical="center"/>
    </xf>
    <xf numFmtId="1" fontId="7" fillId="13" borderId="1" xfId="0" applyNumberFormat="1" applyFont="1" applyFill="1" applyBorder="1" applyAlignment="1">
      <alignment horizontal="right" vertical="center"/>
    </xf>
    <xf numFmtId="1" fontId="7" fillId="14" borderId="1" xfId="0" applyNumberFormat="1" applyFont="1" applyFill="1" applyBorder="1" applyAlignment="1">
      <alignment horizontal="right" vertical="center"/>
    </xf>
    <xf numFmtId="1" fontId="7" fillId="15" borderId="1" xfId="0" applyNumberFormat="1" applyFont="1" applyFill="1" applyBorder="1" applyAlignment="1">
      <alignment horizontal="right" vertical="center"/>
    </xf>
    <xf numFmtId="1" fontId="7" fillId="16" borderId="1" xfId="0" applyNumberFormat="1" applyFont="1" applyFill="1" applyBorder="1" applyAlignment="1">
      <alignment horizontal="right" vertical="center"/>
    </xf>
    <xf numFmtId="10" fontId="7" fillId="16" borderId="1" xfId="0" applyNumberFormat="1" applyFont="1" applyFill="1" applyBorder="1" applyAlignment="1">
      <alignment horizontal="right" vertical="center"/>
    </xf>
    <xf numFmtId="0" fontId="7" fillId="17" borderId="1" xfId="0" applyFont="1" applyFill="1" applyBorder="1" applyAlignment="1">
      <alignment vertical="center"/>
    </xf>
    <xf numFmtId="1" fontId="7" fillId="8" borderId="1" xfId="0" applyNumberFormat="1" applyFont="1" applyFill="1" applyBorder="1" applyAlignment="1">
      <alignment horizontal="right" vertical="center"/>
    </xf>
    <xf numFmtId="1" fontId="7" fillId="9" borderId="1" xfId="0" applyNumberFormat="1" applyFont="1" applyFill="1" applyBorder="1" applyAlignment="1">
      <alignment horizontal="right" vertical="center"/>
    </xf>
    <xf numFmtId="1" fontId="7" fillId="17" borderId="1" xfId="0" applyNumberFormat="1" applyFont="1" applyFill="1" applyBorder="1" applyAlignment="1">
      <alignment horizontal="right" vertical="center"/>
    </xf>
    <xf numFmtId="1" fontId="7" fillId="10" borderId="1" xfId="0" applyNumberFormat="1" applyFont="1" applyFill="1" applyBorder="1" applyAlignment="1">
      <alignment horizontal="right" vertical="center"/>
    </xf>
    <xf numFmtId="1" fontId="7" fillId="11" borderId="1" xfId="0" applyNumberFormat="1" applyFont="1" applyFill="1" applyBorder="1" applyAlignment="1">
      <alignment horizontal="right" vertical="center"/>
    </xf>
    <xf numFmtId="9" fontId="7" fillId="5" borderId="1" xfId="0" applyNumberFormat="1" applyFont="1" applyFill="1" applyBorder="1" applyAlignment="1">
      <alignment vertical="center"/>
    </xf>
    <xf numFmtId="0" fontId="26" fillId="5" borderId="16" xfId="0" applyFont="1" applyFill="1" applyBorder="1" applyAlignment="1">
      <alignment horizontal="center" vertical="center" wrapText="1"/>
    </xf>
    <xf numFmtId="0" fontId="0" fillId="0" borderId="0" xfId="0" applyFill="1" applyBorder="1"/>
    <xf numFmtId="0" fontId="14" fillId="2" borderId="3"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14" fillId="2" borderId="4" xfId="0" applyFont="1" applyFill="1" applyBorder="1" applyAlignment="1">
      <alignment vertical="top" wrapText="1"/>
    </xf>
    <xf numFmtId="0" fontId="10" fillId="0" borderId="1" xfId="4" applyFont="1" applyFill="1" applyBorder="1" applyAlignment="1" applyProtection="1">
      <alignment vertical="top" wrapText="1"/>
      <protection locked="0"/>
    </xf>
    <xf numFmtId="0" fontId="13" fillId="0" borderId="0" xfId="0" applyFont="1" applyFill="1" applyBorder="1" applyAlignment="1">
      <alignment vertical="top" wrapText="1"/>
    </xf>
    <xf numFmtId="0" fontId="0" fillId="0" borderId="0" xfId="0" applyFont="1" applyFill="1" applyAlignment="1">
      <alignment vertical="top"/>
    </xf>
    <xf numFmtId="0" fontId="12" fillId="0" borderId="0" xfId="0" applyFont="1" applyFill="1" applyAlignment="1">
      <alignment vertical="top"/>
    </xf>
    <xf numFmtId="0" fontId="4" fillId="0" borderId="0" xfId="0" applyFont="1" applyFill="1" applyAlignment="1">
      <alignment vertical="top"/>
    </xf>
    <xf numFmtId="0" fontId="10" fillId="0" borderId="2" xfId="4" applyFont="1" applyFill="1" applyBorder="1" applyAlignment="1" applyProtection="1">
      <alignment vertical="top" wrapText="1"/>
      <protection locked="0"/>
    </xf>
    <xf numFmtId="0" fontId="5" fillId="0" borderId="0" xfId="0" applyFont="1" applyFill="1" applyAlignment="1">
      <alignment vertical="top"/>
    </xf>
    <xf numFmtId="0" fontId="10" fillId="0" borderId="2" xfId="6" applyFont="1" applyFill="1" applyBorder="1" applyAlignment="1" applyProtection="1">
      <alignment vertical="top" wrapText="1"/>
      <protection locked="0"/>
    </xf>
    <xf numFmtId="0" fontId="3" fillId="0" borderId="0" xfId="0" applyFont="1" applyFill="1" applyAlignment="1">
      <alignment vertical="top"/>
    </xf>
    <xf numFmtId="0" fontId="0" fillId="0" borderId="0" xfId="0" applyFont="1" applyFill="1" applyAlignment="1">
      <alignment vertical="top" wrapText="1"/>
    </xf>
    <xf numFmtId="0" fontId="29" fillId="0" borderId="1" xfId="4" applyFont="1" applyFill="1" applyBorder="1" applyAlignment="1" applyProtection="1">
      <alignment horizontal="left" vertical="top" wrapText="1"/>
      <protection locked="0"/>
    </xf>
    <xf numFmtId="0" fontId="29" fillId="0" borderId="1" xfId="0" applyFont="1" applyFill="1" applyBorder="1" applyAlignment="1">
      <alignment vertical="center" wrapText="1"/>
    </xf>
    <xf numFmtId="0" fontId="30" fillId="0" borderId="0" xfId="0" applyFont="1" applyFill="1" applyBorder="1" applyAlignment="1">
      <alignment vertical="top" wrapText="1"/>
    </xf>
    <xf numFmtId="0" fontId="3" fillId="0" borderId="1" xfId="1" applyFont="1" applyFill="1" applyBorder="1" applyAlignment="1">
      <alignment horizontal="left" vertical="center"/>
    </xf>
    <xf numFmtId="0" fontId="3" fillId="0" borderId="1" xfId="0" applyFont="1" applyFill="1" applyBorder="1" applyAlignment="1">
      <alignment horizontal="left" vertical="center"/>
    </xf>
    <xf numFmtId="0" fontId="10" fillId="0" borderId="1" xfId="4" applyFont="1" applyFill="1" applyBorder="1" applyAlignment="1" applyProtection="1">
      <alignment horizontal="left" vertical="center" wrapText="1"/>
      <protection locked="0"/>
    </xf>
    <xf numFmtId="0" fontId="14" fillId="2" borderId="4" xfId="6" applyFont="1" applyFill="1" applyBorder="1" applyAlignment="1" applyProtection="1">
      <alignment horizontal="center" vertical="center" wrapText="1"/>
      <protection locked="0"/>
    </xf>
    <xf numFmtId="0" fontId="17" fillId="0" borderId="2" xfId="0" applyFont="1" applyFill="1" applyBorder="1" applyAlignment="1">
      <alignment vertical="center" wrapText="1"/>
    </xf>
    <xf numFmtId="0" fontId="31" fillId="0" borderId="1" xfId="0" applyFont="1" applyFill="1" applyBorder="1" applyAlignment="1">
      <alignment vertical="center" wrapText="1"/>
    </xf>
    <xf numFmtId="0" fontId="10" fillId="0" borderId="1" xfId="6" applyFont="1" applyFill="1" applyBorder="1" applyAlignment="1" applyProtection="1">
      <alignment vertical="top" wrapText="1"/>
      <protection locked="0"/>
    </xf>
    <xf numFmtId="0" fontId="33" fillId="0" borderId="1" xfId="4" applyFont="1" applyFill="1" applyBorder="1" applyAlignment="1" applyProtection="1">
      <alignment horizontal="left" vertical="top" wrapText="1"/>
      <protection locked="0"/>
    </xf>
    <xf numFmtId="0" fontId="5" fillId="0" borderId="1" xfId="0" applyFont="1" applyFill="1" applyBorder="1" applyAlignment="1">
      <alignment vertical="top"/>
    </xf>
    <xf numFmtId="0" fontId="13" fillId="0" borderId="1" xfId="0" applyFont="1" applyBorder="1" applyAlignment="1">
      <alignment vertical="top" wrapText="1"/>
    </xf>
    <xf numFmtId="0" fontId="32" fillId="0" borderId="1" xfId="0" applyFont="1" applyBorder="1" applyAlignment="1">
      <alignment horizontal="left" vertical="center" indent="5"/>
    </xf>
    <xf numFmtId="0" fontId="28" fillId="0" borderId="1" xfId="0" applyFont="1" applyBorder="1" applyAlignment="1">
      <alignment horizontal="left" vertical="center" indent="5"/>
    </xf>
    <xf numFmtId="0" fontId="0" fillId="0" borderId="1" xfId="0" applyFont="1" applyFill="1" applyBorder="1" applyAlignment="1">
      <alignment vertical="top" wrapText="1"/>
    </xf>
    <xf numFmtId="0" fontId="13" fillId="0" borderId="1" xfId="0" applyFont="1" applyFill="1" applyBorder="1"/>
    <xf numFmtId="0" fontId="0" fillId="0" borderId="1" xfId="0" applyFont="1" applyFill="1" applyBorder="1" applyAlignment="1">
      <alignment wrapText="1"/>
    </xf>
    <xf numFmtId="0" fontId="17" fillId="0" borderId="1" xfId="0" applyFont="1" applyFill="1" applyBorder="1" applyAlignment="1">
      <alignment vertical="center" wrapText="1"/>
    </xf>
    <xf numFmtId="0" fontId="30" fillId="0" borderId="1" xfId="0" applyFont="1" applyFill="1" applyBorder="1" applyAlignment="1">
      <alignment vertical="top" wrapText="1"/>
    </xf>
    <xf numFmtId="0" fontId="13" fillId="0" borderId="1" xfId="0" applyFont="1" applyFill="1" applyBorder="1" applyAlignment="1">
      <alignment vertical="top" wrapText="1"/>
    </xf>
    <xf numFmtId="49" fontId="3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0" xfId="0" applyFont="1" applyFill="1" applyAlignment="1">
      <alignment vertical="center"/>
    </xf>
    <xf numFmtId="0" fontId="30" fillId="0" borderId="1" xfId="0" applyFont="1" applyFill="1" applyBorder="1" applyAlignment="1">
      <alignment vertical="center" wrapText="1"/>
    </xf>
    <xf numFmtId="0" fontId="13" fillId="0" borderId="1" xfId="0" applyFont="1" applyFill="1" applyBorder="1" applyAlignment="1">
      <alignment wrapText="1"/>
    </xf>
    <xf numFmtId="0" fontId="10" fillId="0" borderId="1" xfId="4" applyFont="1" applyFill="1" applyBorder="1" applyAlignment="1" applyProtection="1">
      <alignment vertical="center" wrapText="1"/>
      <protection locked="0"/>
    </xf>
    <xf numFmtId="0" fontId="10" fillId="0" borderId="1" xfId="0" applyFont="1" applyFill="1" applyBorder="1" applyAlignment="1">
      <alignment horizontal="left" vertical="center"/>
    </xf>
    <xf numFmtId="0" fontId="10" fillId="0" borderId="1" xfId="1" applyFont="1" applyFill="1" applyBorder="1" applyAlignment="1">
      <alignment horizontal="left" vertical="center"/>
    </xf>
    <xf numFmtId="0" fontId="14" fillId="2" borderId="3"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0" xfId="0" applyFont="1" applyFill="1" applyAlignment="1">
      <alignment horizontal="left" vertical="center"/>
    </xf>
    <xf numFmtId="0" fontId="14" fillId="2" borderId="3" xfId="0" applyFont="1" applyFill="1" applyBorder="1" applyAlignment="1">
      <alignment vertical="center" wrapText="1"/>
    </xf>
    <xf numFmtId="0" fontId="0" fillId="0" borderId="1" xfId="0" applyFont="1" applyFill="1" applyBorder="1" applyAlignment="1">
      <alignment vertical="center"/>
    </xf>
    <xf numFmtId="0" fontId="0" fillId="0" borderId="0" xfId="0" applyFont="1" applyFill="1" applyAlignment="1">
      <alignment vertical="center"/>
    </xf>
    <xf numFmtId="0" fontId="10" fillId="0" borderId="1" xfId="6" applyFont="1" applyFill="1" applyBorder="1" applyAlignment="1" applyProtection="1">
      <alignment horizontal="left" vertical="top" wrapText="1"/>
      <protection locked="0"/>
    </xf>
    <xf numFmtId="0" fontId="4" fillId="0" borderId="2" xfId="0" applyFont="1" applyFill="1" applyBorder="1" applyAlignment="1">
      <alignment vertical="center" wrapText="1"/>
    </xf>
    <xf numFmtId="0" fontId="10" fillId="0" borderId="2" xfId="6" applyFont="1" applyFill="1" applyBorder="1" applyAlignment="1" applyProtection="1">
      <alignment horizontal="left" vertical="top" wrapText="1"/>
      <protection locked="0"/>
    </xf>
    <xf numFmtId="0" fontId="19" fillId="0" borderId="7" xfId="0" applyFont="1" applyBorder="1" applyAlignment="1">
      <alignment vertical="top" wrapText="1"/>
    </xf>
    <xf numFmtId="0" fontId="19" fillId="0" borderId="0" xfId="0" applyFont="1" applyBorder="1" applyAlignment="1">
      <alignment vertical="top" wrapText="1"/>
    </xf>
    <xf numFmtId="0" fontId="22" fillId="3" borderId="6" xfId="0" applyFont="1" applyFill="1" applyBorder="1" applyAlignment="1">
      <alignment horizontal="center"/>
    </xf>
    <xf numFmtId="0" fontId="22" fillId="3" borderId="7" xfId="0" applyFont="1" applyFill="1" applyBorder="1" applyAlignment="1">
      <alignment horizontal="center"/>
    </xf>
    <xf numFmtId="0" fontId="22" fillId="3" borderId="8" xfId="0" applyFont="1" applyFill="1" applyBorder="1" applyAlignment="1">
      <alignment horizontal="center"/>
    </xf>
    <xf numFmtId="0" fontId="23" fillId="3" borderId="11" xfId="0" applyFont="1" applyFill="1" applyBorder="1" applyAlignment="1">
      <alignment horizontal="left" wrapText="1"/>
    </xf>
    <xf numFmtId="0" fontId="23" fillId="3" borderId="12" xfId="0" applyFont="1" applyFill="1" applyBorder="1" applyAlignment="1">
      <alignment horizontal="left"/>
    </xf>
    <xf numFmtId="0" fontId="23" fillId="3" borderId="13" xfId="0" applyFont="1" applyFill="1" applyBorder="1" applyAlignment="1">
      <alignment horizontal="left"/>
    </xf>
    <xf numFmtId="0" fontId="22" fillId="3" borderId="6" xfId="0" applyFont="1" applyFill="1" applyBorder="1" applyAlignment="1">
      <alignment vertical="top" wrapText="1"/>
    </xf>
    <xf numFmtId="0" fontId="22" fillId="3" borderId="7" xfId="0" applyFont="1" applyFill="1" applyBorder="1" applyAlignment="1">
      <alignment horizontal="center" wrapText="1"/>
    </xf>
    <xf numFmtId="0" fontId="22" fillId="3" borderId="7" xfId="0" applyFont="1" applyFill="1" applyBorder="1" applyAlignment="1">
      <alignment vertical="top" wrapText="1"/>
    </xf>
    <xf numFmtId="0" fontId="22" fillId="3" borderId="8" xfId="0" applyFont="1" applyFill="1" applyBorder="1" applyAlignment="1">
      <alignment vertical="top" wrapText="1"/>
    </xf>
    <xf numFmtId="0" fontId="23" fillId="3" borderId="11" xfId="0" applyFont="1" applyFill="1" applyBorder="1" applyAlignment="1">
      <alignment vertical="top" wrapText="1"/>
    </xf>
    <xf numFmtId="0" fontId="23" fillId="3" borderId="12" xfId="0" applyFont="1" applyFill="1" applyBorder="1" applyAlignment="1">
      <alignment horizontal="left" wrapText="1"/>
    </xf>
    <xf numFmtId="0" fontId="23" fillId="3" borderId="12" xfId="0" applyFont="1" applyFill="1" applyBorder="1" applyAlignment="1">
      <alignment vertical="top" wrapText="1"/>
    </xf>
    <xf numFmtId="0" fontId="23" fillId="3" borderId="13" xfId="0" applyFont="1" applyFill="1" applyBorder="1" applyAlignment="1">
      <alignment vertical="top" wrapText="1"/>
    </xf>
    <xf numFmtId="0" fontId="22" fillId="3" borderId="6" xfId="0" applyFont="1" applyFill="1" applyBorder="1" applyAlignment="1" applyProtection="1">
      <alignment horizontal="center" vertical="center"/>
      <protection hidden="1"/>
    </xf>
    <xf numFmtId="0" fontId="22" fillId="3" borderId="7" xfId="0" applyFont="1" applyFill="1" applyBorder="1" applyAlignment="1" applyProtection="1">
      <alignment horizontal="center" vertical="center"/>
      <protection hidden="1"/>
    </xf>
    <xf numFmtId="0" fontId="22" fillId="3" borderId="8" xfId="0" applyFont="1" applyFill="1" applyBorder="1" applyAlignment="1" applyProtection="1">
      <alignment horizontal="center" vertical="center"/>
      <protection hidden="1"/>
    </xf>
    <xf numFmtId="0" fontId="23" fillId="3" borderId="11" xfId="0" applyFont="1" applyFill="1" applyBorder="1" applyAlignment="1">
      <alignment horizontal="left" vertical="center" wrapText="1"/>
    </xf>
    <xf numFmtId="0" fontId="23" fillId="3" borderId="12" xfId="0" applyFont="1" applyFill="1" applyBorder="1" applyAlignment="1">
      <alignment horizontal="left" vertical="center"/>
    </xf>
    <xf numFmtId="0" fontId="23" fillId="3" borderId="13" xfId="0" applyFont="1" applyFill="1" applyBorder="1" applyAlignment="1">
      <alignment horizontal="left" vertical="center"/>
    </xf>
  </cellXfs>
  <cellStyles count="7">
    <cellStyle name="Hyperlink" xfId="1" builtinId="8"/>
    <cellStyle name="Hyperlink 2" xfId="3"/>
    <cellStyle name="Normal" xfId="0" builtinId="0"/>
    <cellStyle name="Normal 2" xfId="4"/>
    <cellStyle name="Normal 2 2" xfId="6"/>
    <cellStyle name="Normal 257" xfId="5"/>
    <cellStyle name="Normal 3" xfId="2"/>
  </cellStyles>
  <dxfs count="6">
    <dxf>
      <font>
        <strike val="0"/>
        <outline val="0"/>
        <shadow val="0"/>
        <u val="none"/>
        <vertAlign val="baseline"/>
        <sz val="14"/>
        <color theme="1"/>
        <name val="Calibri"/>
        <scheme val="minor"/>
      </font>
      <alignment horizontal="center" vertical="center" textRotation="0" wrapText="0" indent="0" justifyLastLine="0" shrinkToFit="0" readingOrder="0"/>
    </dxf>
    <dxf>
      <alignment horizontal="general" vertical="top"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2"/>
        <color theme="1"/>
        <name val="Calibri"/>
        <scheme val="minor"/>
      </font>
      <alignment horizontal="center" textRotation="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5"/>
      <tableStyleElement type="headerRow" dxfId="4"/>
    </tableStyle>
  </tableStyles>
  <colors>
    <mruColors>
      <color rgb="FFFF66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50800</xdr:colOff>
          <xdr:row>3</xdr:row>
          <xdr:rowOff>38100</xdr:rowOff>
        </xdr:from>
        <xdr:to>
          <xdr:col>10</xdr:col>
          <xdr:colOff>355600</xdr:colOff>
          <xdr:row>6</xdr:row>
          <xdr:rowOff>152400</xdr:rowOff>
        </xdr:to>
        <xdr:sp macro="" textlink="">
          <xdr:nvSpPr>
            <xdr:cNvPr id="9217" name="Object 1" hidden="1">
              <a:extLst>
                <a:ext uri="{63B3BB69-23CF-44E3-9099-C40C66FF867C}">
                  <a14:compatExt spid="_x0000_s9217"/>
                </a:ext>
                <a:ext uri="{FF2B5EF4-FFF2-40B4-BE49-F238E27FC236}">
                  <a16:creationId xmlns:a16="http://schemas.microsoft.com/office/drawing/2014/main" xmlns="" id="{00000000-0008-0000-0300-0000012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ables/table1.xml><?xml version="1.0" encoding="utf-8"?>
<table xmlns="http://schemas.openxmlformats.org/spreadsheetml/2006/main" id="1" name="Table1" displayName="Table1" ref="A3:C13" totalsRowShown="0" headerRowDxfId="3">
  <autoFilter ref="A3:C13"/>
  <tableColumns count="3">
    <tableColumn id="1" name="Status" dataDxfId="2"/>
    <tableColumn id="2" name="Description" dataDxfId="1"/>
    <tableColumn id="3" name="Score"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oleObject" Target="../embeddings/oleObject1.bin"/><Relationship Id="rId6" Type="http://schemas.openxmlformats.org/officeDocument/2006/relationships/image" Target="../media/image1.emf"/><Relationship Id="rId1" Type="http://schemas.openxmlformats.org/officeDocument/2006/relationships/hyperlink" Target="http://nvlpubs.nist.gov/nistpubs/SpecialPublications/NIST.SP.800-53r4.pdf" TargetMode="External"/><Relationship Id="rId2"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sqref="A1:D1"/>
    </sheetView>
  </sheetViews>
  <sheetFormatPr baseColWidth="10" defaultColWidth="8.83203125" defaultRowHeight="15" x14ac:dyDescent="0.2"/>
  <cols>
    <col min="2" max="2" width="27.6640625" bestFit="1" customWidth="1"/>
    <col min="3" max="3" width="90.5" bestFit="1" customWidth="1"/>
    <col min="16" max="16" width="9.33203125" customWidth="1"/>
  </cols>
  <sheetData>
    <row r="1" spans="1:4" ht="21" x14ac:dyDescent="0.25">
      <c r="A1" s="125" t="str">
        <f>IF(NOT(COUNTA('Self-Assessment_Cases'!I4:I661)),"Official Use Only","Sensitive But Unclassified")</f>
        <v>Official Use Only</v>
      </c>
      <c r="B1" s="126"/>
      <c r="C1" s="126"/>
      <c r="D1" s="127"/>
    </row>
    <row r="2" spans="1:4" ht="28.5" customHeight="1" thickBot="1" x14ac:dyDescent="0.25">
      <c r="A2" s="128" t="s">
        <v>744</v>
      </c>
      <c r="B2" s="129"/>
      <c r="C2" s="129"/>
      <c r="D2" s="130"/>
    </row>
    <row r="3" spans="1:4" x14ac:dyDescent="0.2">
      <c r="A3" s="26"/>
      <c r="B3" s="123" t="s">
        <v>755</v>
      </c>
      <c r="C3" s="123"/>
      <c r="D3" s="27"/>
    </row>
    <row r="4" spans="1:4" x14ac:dyDescent="0.2">
      <c r="A4" s="28"/>
      <c r="B4" s="124"/>
      <c r="C4" s="124"/>
      <c r="D4" s="29"/>
    </row>
    <row r="5" spans="1:4" x14ac:dyDescent="0.2">
      <c r="A5" s="28"/>
      <c r="B5" s="124"/>
      <c r="C5" s="124"/>
      <c r="D5" s="29"/>
    </row>
    <row r="6" spans="1:4" x14ac:dyDescent="0.2">
      <c r="A6" s="28"/>
      <c r="B6" s="124"/>
      <c r="C6" s="124"/>
      <c r="D6" s="29"/>
    </row>
    <row r="7" spans="1:4" x14ac:dyDescent="0.2">
      <c r="A7" s="28"/>
      <c r="B7" s="124"/>
      <c r="C7" s="124"/>
      <c r="D7" s="29"/>
    </row>
    <row r="8" spans="1:4" ht="16" thickBot="1" x14ac:dyDescent="0.25">
      <c r="A8" s="28"/>
      <c r="B8" s="25" t="s">
        <v>696</v>
      </c>
      <c r="C8" s="25" t="s">
        <v>664</v>
      </c>
      <c r="D8" s="29"/>
    </row>
    <row r="9" spans="1:4" ht="16" thickTop="1" x14ac:dyDescent="0.2">
      <c r="A9" s="28"/>
      <c r="B9" s="30" t="s">
        <v>756</v>
      </c>
      <c r="C9" s="31" t="s">
        <v>757</v>
      </c>
      <c r="D9" s="29"/>
    </row>
    <row r="10" spans="1:4" x14ac:dyDescent="0.2">
      <c r="A10" s="28"/>
      <c r="B10" s="30" t="s">
        <v>697</v>
      </c>
      <c r="C10" s="31" t="s">
        <v>699</v>
      </c>
      <c r="D10" s="29"/>
    </row>
    <row r="11" spans="1:4" x14ac:dyDescent="0.2">
      <c r="A11" s="28"/>
      <c r="B11" s="30" t="s">
        <v>698</v>
      </c>
      <c r="C11" s="31" t="s">
        <v>700</v>
      </c>
      <c r="D11" s="29"/>
    </row>
    <row r="12" spans="1:4" x14ac:dyDescent="0.2">
      <c r="A12" s="28"/>
      <c r="B12" s="30" t="s">
        <v>753</v>
      </c>
      <c r="C12" s="70" t="s">
        <v>754</v>
      </c>
      <c r="D12" s="29"/>
    </row>
    <row r="13" spans="1:4" ht="16" thickBot="1" x14ac:dyDescent="0.25">
      <c r="A13" s="32"/>
      <c r="B13" s="33"/>
      <c r="C13" s="33"/>
      <c r="D13" s="34"/>
    </row>
  </sheetData>
  <mergeCells count="3">
    <mergeCell ref="B3:C7"/>
    <mergeCell ref="A1:D1"/>
    <mergeCell ref="A2:D2"/>
  </mergeCells>
  <hyperlinks>
    <hyperlink ref="B9" location="'Table-of-Contents'!A1" display="Self-Assessment_Cases"/>
    <hyperlink ref="B12" location="Control_Scoring!A1" display="Control_Scoring"/>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661"/>
  <sheetViews>
    <sheetView showGridLines="0" tabSelected="1" zoomScale="55" zoomScaleNormal="55" workbookViewId="0">
      <pane ySplit="3" topLeftCell="A378" activePane="bottomLeft" state="frozen"/>
      <selection pane="bottomLeft" activeCell="D382" sqref="D382"/>
    </sheetView>
  </sheetViews>
  <sheetFormatPr baseColWidth="10" defaultColWidth="8.83203125" defaultRowHeight="15" x14ac:dyDescent="0.2"/>
  <cols>
    <col min="1" max="1" width="43" style="84" customWidth="1"/>
    <col min="2" max="2" width="6.33203125" style="12" customWidth="1"/>
    <col min="3" max="3" width="11.83203125" style="116" customWidth="1"/>
    <col min="4" max="4" width="11.33203125" style="116" bestFit="1" customWidth="1"/>
    <col min="5" max="5" width="11.33203125" style="119" bestFit="1" customWidth="1"/>
    <col min="6" max="6" width="10.5" style="2" customWidth="1"/>
    <col min="7" max="7" width="51.33203125" style="84" customWidth="1"/>
    <col min="8" max="8" width="39.83203125" style="15" hidden="1" customWidth="1"/>
    <col min="9" max="9" width="49.6640625" style="15" customWidth="1"/>
    <col min="10" max="10" width="56.33203125" style="87" customWidth="1"/>
    <col min="11" max="11" width="72.5" style="76" customWidth="1"/>
    <col min="12" max="16384" width="8.83203125" style="77"/>
  </cols>
  <sheetData>
    <row r="1" spans="1:11" ht="21" x14ac:dyDescent="0.25">
      <c r="A1" s="131" t="str">
        <f>IF(NOT(COUNTA(I4:I661)),"Official Use Only","Sensitive But Unclassified")</f>
        <v>Official Use Only</v>
      </c>
      <c r="B1" s="132"/>
      <c r="C1" s="133"/>
      <c r="D1" s="133"/>
      <c r="E1" s="133"/>
      <c r="F1" s="132"/>
      <c r="G1" s="134"/>
    </row>
    <row r="2" spans="1:11" ht="39.75" customHeight="1" thickBot="1" x14ac:dyDescent="0.25">
      <c r="A2" s="135" t="s">
        <v>744</v>
      </c>
      <c r="B2" s="136"/>
      <c r="C2" s="137"/>
      <c r="D2" s="137"/>
      <c r="E2" s="137"/>
      <c r="F2" s="136"/>
      <c r="G2" s="138"/>
    </row>
    <row r="3" spans="1:11" s="78" customFormat="1" ht="144" customHeight="1" x14ac:dyDescent="0.2">
      <c r="A3" s="71" t="s">
        <v>680</v>
      </c>
      <c r="B3" s="17" t="s">
        <v>341</v>
      </c>
      <c r="C3" s="114" t="s">
        <v>248</v>
      </c>
      <c r="D3" s="114" t="s">
        <v>659</v>
      </c>
      <c r="E3" s="117" t="s">
        <v>679</v>
      </c>
      <c r="F3" s="18" t="s">
        <v>674</v>
      </c>
      <c r="G3" s="74" t="s">
        <v>658</v>
      </c>
      <c r="H3" s="19" t="s">
        <v>702</v>
      </c>
      <c r="I3" s="91" t="s">
        <v>660</v>
      </c>
      <c r="J3" s="91" t="s">
        <v>1254</v>
      </c>
      <c r="K3" s="91" t="s">
        <v>1255</v>
      </c>
    </row>
    <row r="4" spans="1:11" s="79" customFormat="1" ht="28" x14ac:dyDescent="0.2">
      <c r="A4" s="72" t="s">
        <v>1</v>
      </c>
      <c r="B4" s="9" t="s">
        <v>321</v>
      </c>
      <c r="C4" s="89" t="s">
        <v>245</v>
      </c>
      <c r="D4" s="89" t="s">
        <v>1100</v>
      </c>
      <c r="E4" s="4" t="s">
        <v>0</v>
      </c>
      <c r="F4" s="8" t="str">
        <f>IF('Self-Assessment_Cases'!I4="Implemented","5",IF('Self-Assessment_Cases'!I4="In Progress - Administrative","3",IF('Self-Assessment_Cases'!I4="In Progress - Configuration","3",IF('Self-Assessment_Cases'!I4="In Progress - Installation/Upgrade","3",IF('Self-Assessment_Cases'!I4="Not Implemented - Compensating Control","5",IF('Self-Assessment_Cases'!I4="Not Implemented - Risk Negligible","5",IF('Self-Assessment_Cases'!I4="Not Implemented - Risk Accepted","1",IF('Self-Assessment_Cases'!I4="Not Implemented - Planned","1",IF('Self-Assessment_Cases'!I4="Not Implemented - Unplanned","1",".")))))))))</f>
        <v>.</v>
      </c>
      <c r="G4" s="75" t="s">
        <v>391</v>
      </c>
      <c r="H4" s="14"/>
      <c r="I4" s="92"/>
      <c r="J4" s="11"/>
      <c r="K4" s="75"/>
    </row>
    <row r="5" spans="1:11" s="79" customFormat="1" ht="28" x14ac:dyDescent="0.2">
      <c r="A5" s="72" t="s">
        <v>1</v>
      </c>
      <c r="B5" s="9" t="s">
        <v>321</v>
      </c>
      <c r="C5" s="89" t="s">
        <v>245</v>
      </c>
      <c r="D5" s="89" t="s">
        <v>764</v>
      </c>
      <c r="E5" s="4" t="s">
        <v>0</v>
      </c>
      <c r="F5" s="8" t="str">
        <f>IF('Self-Assessment_Cases'!I5="Implemented","5",IF('Self-Assessment_Cases'!I5="In Progress - Administrative","3",IF('Self-Assessment_Cases'!I5="In Progress - Configuration","3",IF('Self-Assessment_Cases'!I5="In Progress - Installation/Upgrade","3",IF('Self-Assessment_Cases'!I5="Not Implemented - Compensating Control","5",IF('Self-Assessment_Cases'!I5="Not Implemented - Risk Negligible","5",IF('Self-Assessment_Cases'!I5="Not Implemented - Risk Accepted","1",IF('Self-Assessment_Cases'!I5="Not Implemented - Planned","1",IF('Self-Assessment_Cases'!I5="Not Implemented - Unplanned","1",".")))))))))</f>
        <v>.</v>
      </c>
      <c r="G5" s="75" t="s">
        <v>384</v>
      </c>
      <c r="H5" s="14"/>
      <c r="I5" s="92"/>
      <c r="J5" s="11"/>
      <c r="K5" s="75"/>
    </row>
    <row r="6" spans="1:11" s="79" customFormat="1" ht="28" x14ac:dyDescent="0.2">
      <c r="A6" s="72" t="s">
        <v>1</v>
      </c>
      <c r="B6" s="9" t="s">
        <v>321</v>
      </c>
      <c r="C6" s="89" t="s">
        <v>245</v>
      </c>
      <c r="D6" s="89" t="s">
        <v>856</v>
      </c>
      <c r="E6" s="4" t="s">
        <v>0</v>
      </c>
      <c r="F6" s="8" t="str">
        <f>IF('Self-Assessment_Cases'!I6="Implemented","5",IF('Self-Assessment_Cases'!I6="In Progress - Administrative","3",IF('Self-Assessment_Cases'!I6="In Progress - Configuration","3",IF('Self-Assessment_Cases'!I6="In Progress - Installation/Upgrade","3",IF('Self-Assessment_Cases'!I6="Not Implemented - Compensating Control","5",IF('Self-Assessment_Cases'!I6="Not Implemented - Risk Negligible","5",IF('Self-Assessment_Cases'!I6="Not Implemented - Risk Accepted","1",IF('Self-Assessment_Cases'!I6="Not Implemented - Planned","1",IF('Self-Assessment_Cases'!I6="Not Implemented - Unplanned","1",".")))))))))</f>
        <v>.</v>
      </c>
      <c r="G6" s="75" t="s">
        <v>385</v>
      </c>
      <c r="H6" s="14"/>
      <c r="I6" s="92"/>
      <c r="J6" s="11"/>
      <c r="K6" s="75"/>
    </row>
    <row r="7" spans="1:11" s="79" customFormat="1" ht="28" x14ac:dyDescent="0.2">
      <c r="A7" s="72" t="s">
        <v>1</v>
      </c>
      <c r="B7" s="9" t="s">
        <v>321</v>
      </c>
      <c r="C7" s="89" t="s">
        <v>245</v>
      </c>
      <c r="D7" s="89" t="s">
        <v>923</v>
      </c>
      <c r="E7" s="4" t="s">
        <v>0</v>
      </c>
      <c r="F7" s="8" t="str">
        <f>IF('Self-Assessment_Cases'!I7="Implemented","5",IF('Self-Assessment_Cases'!I7="In Progress - Administrative","3",IF('Self-Assessment_Cases'!I7="In Progress - Configuration","3",IF('Self-Assessment_Cases'!I7="In Progress - Installation/Upgrade","3",IF('Self-Assessment_Cases'!I7="Not Implemented - Compensating Control","5",IF('Self-Assessment_Cases'!I7="Not Implemented - Risk Negligible","5",IF('Self-Assessment_Cases'!I7="Not Implemented - Risk Accepted","1",IF('Self-Assessment_Cases'!I7="Not Implemented - Planned","1",IF('Self-Assessment_Cases'!I7="Not Implemented - Unplanned","1",".")))))))))</f>
        <v>.</v>
      </c>
      <c r="G7" s="75" t="s">
        <v>386</v>
      </c>
      <c r="H7" s="14"/>
      <c r="I7" s="92"/>
      <c r="J7" s="11"/>
      <c r="K7" s="75"/>
    </row>
    <row r="8" spans="1:11" s="79" customFormat="1" ht="28" x14ac:dyDescent="0.2">
      <c r="A8" s="72" t="s">
        <v>1</v>
      </c>
      <c r="B8" s="9" t="s">
        <v>321</v>
      </c>
      <c r="C8" s="89" t="s">
        <v>245</v>
      </c>
      <c r="D8" s="89" t="s">
        <v>975</v>
      </c>
      <c r="E8" s="4" t="s">
        <v>0</v>
      </c>
      <c r="F8" s="8" t="str">
        <f>IF('Self-Assessment_Cases'!I8="Implemented","5",IF('Self-Assessment_Cases'!I8="In Progress - Administrative","3",IF('Self-Assessment_Cases'!I8="In Progress - Configuration","3",IF('Self-Assessment_Cases'!I8="In Progress - Installation/Upgrade","3",IF('Self-Assessment_Cases'!I8="Not Implemented - Compensating Control","5",IF('Self-Assessment_Cases'!I8="Not Implemented - Risk Negligible","5",IF('Self-Assessment_Cases'!I8="Not Implemented - Risk Accepted","1",IF('Self-Assessment_Cases'!I8="Not Implemented - Planned","1",IF('Self-Assessment_Cases'!I8="Not Implemented - Unplanned","1",".")))))))))</f>
        <v>.</v>
      </c>
      <c r="G8" s="75" t="s">
        <v>387</v>
      </c>
      <c r="H8" s="14"/>
      <c r="I8" s="92"/>
      <c r="J8" s="11"/>
      <c r="K8" s="75"/>
    </row>
    <row r="9" spans="1:11" s="79" customFormat="1" ht="28" x14ac:dyDescent="0.2">
      <c r="A9" s="72" t="s">
        <v>1</v>
      </c>
      <c r="B9" s="9" t="s">
        <v>321</v>
      </c>
      <c r="C9" s="89" t="s">
        <v>245</v>
      </c>
      <c r="D9" s="89" t="s">
        <v>1011</v>
      </c>
      <c r="E9" s="4" t="s">
        <v>0</v>
      </c>
      <c r="F9" s="8" t="str">
        <f>IF('Self-Assessment_Cases'!I9="Implemented","5",IF('Self-Assessment_Cases'!I9="In Progress - Administrative","3",IF('Self-Assessment_Cases'!I9="In Progress - Configuration","3",IF('Self-Assessment_Cases'!I9="In Progress - Installation/Upgrade","3",IF('Self-Assessment_Cases'!I9="Not Implemented - Compensating Control","5",IF('Self-Assessment_Cases'!I9="Not Implemented - Risk Negligible","5",IF('Self-Assessment_Cases'!I9="Not Implemented - Risk Accepted","1",IF('Self-Assessment_Cases'!I9="Not Implemented - Planned","1",IF('Self-Assessment_Cases'!I9="Not Implemented - Unplanned","1",".")))))))))</f>
        <v>.</v>
      </c>
      <c r="G9" s="75" t="s">
        <v>388</v>
      </c>
      <c r="H9" s="14"/>
      <c r="I9" s="92"/>
      <c r="J9" s="11"/>
      <c r="K9" s="75"/>
    </row>
    <row r="10" spans="1:11" s="79" customFormat="1" ht="28" x14ac:dyDescent="0.2">
      <c r="A10" s="72" t="s">
        <v>1</v>
      </c>
      <c r="B10" s="9" t="s">
        <v>321</v>
      </c>
      <c r="C10" s="89" t="s">
        <v>245</v>
      </c>
      <c r="D10" s="89" t="s">
        <v>1037</v>
      </c>
      <c r="E10" s="4" t="s">
        <v>0</v>
      </c>
      <c r="F10" s="8" t="str">
        <f>IF('Self-Assessment_Cases'!I10="Implemented","5",IF('Self-Assessment_Cases'!I10="In Progress - Administrative","3",IF('Self-Assessment_Cases'!I10="In Progress - Configuration","3",IF('Self-Assessment_Cases'!I10="In Progress - Installation/Upgrade","3",IF('Self-Assessment_Cases'!I10="Not Implemented - Compensating Control","5",IF('Self-Assessment_Cases'!I10="Not Implemented - Risk Negligible","5",IF('Self-Assessment_Cases'!I10="Not Implemented - Risk Accepted","1",IF('Self-Assessment_Cases'!I10="Not Implemented - Planned","1",IF('Self-Assessment_Cases'!I10="Not Implemented - Unplanned","1",".")))))))))</f>
        <v>.</v>
      </c>
      <c r="G10" s="75" t="s">
        <v>392</v>
      </c>
      <c r="H10" s="14"/>
      <c r="I10" s="92"/>
      <c r="J10" s="11"/>
      <c r="K10" s="75"/>
    </row>
    <row r="11" spans="1:11" s="79" customFormat="1" ht="42" x14ac:dyDescent="0.2">
      <c r="A11" s="72" t="s">
        <v>1</v>
      </c>
      <c r="B11" s="9" t="s">
        <v>321</v>
      </c>
      <c r="C11" s="89" t="s">
        <v>245</v>
      </c>
      <c r="D11" s="89" t="s">
        <v>1061</v>
      </c>
      <c r="E11" s="4" t="s">
        <v>0</v>
      </c>
      <c r="F11" s="8" t="str">
        <f>IF('Self-Assessment_Cases'!I11="Implemented","5",IF('Self-Assessment_Cases'!I11="In Progress - Administrative","3",IF('Self-Assessment_Cases'!I11="In Progress - Configuration","3",IF('Self-Assessment_Cases'!I11="In Progress - Installation/Upgrade","3",IF('Self-Assessment_Cases'!I11="Not Implemented - Compensating Control","5",IF('Self-Assessment_Cases'!I11="Not Implemented - Risk Negligible","5",IF('Self-Assessment_Cases'!I11="Not Implemented - Risk Accepted","1",IF('Self-Assessment_Cases'!I11="Not Implemented - Planned","1",IF('Self-Assessment_Cases'!I11="Not Implemented - Unplanned","1",".")))))))))</f>
        <v>.</v>
      </c>
      <c r="G11" s="75" t="s">
        <v>692</v>
      </c>
      <c r="H11" s="14"/>
      <c r="I11" s="92"/>
      <c r="J11" s="11"/>
      <c r="K11" s="75"/>
    </row>
    <row r="12" spans="1:11" s="79" customFormat="1" ht="42" x14ac:dyDescent="0.2">
      <c r="A12" s="72" t="s">
        <v>1</v>
      </c>
      <c r="B12" s="9" t="s">
        <v>321</v>
      </c>
      <c r="C12" s="89" t="s">
        <v>245</v>
      </c>
      <c r="D12" s="89" t="s">
        <v>1081</v>
      </c>
      <c r="E12" s="4" t="s">
        <v>0</v>
      </c>
      <c r="F12" s="8" t="str">
        <f>IF('Self-Assessment_Cases'!I12="Implemented","5",IF('Self-Assessment_Cases'!I12="In Progress - Administrative","3",IF('Self-Assessment_Cases'!I12="In Progress - Configuration","3",IF('Self-Assessment_Cases'!I12="In Progress - Installation/Upgrade","3",IF('Self-Assessment_Cases'!I12="Not Implemented - Compensating Control","5",IF('Self-Assessment_Cases'!I12="Not Implemented - Risk Negligible","5",IF('Self-Assessment_Cases'!I12="Not Implemented - Risk Accepted","1",IF('Self-Assessment_Cases'!I12="Not Implemented - Planned","1",IF('Self-Assessment_Cases'!I12="Not Implemented - Unplanned","1",".")))))))))</f>
        <v>.</v>
      </c>
      <c r="G12" s="75" t="s">
        <v>389</v>
      </c>
      <c r="H12" s="14"/>
      <c r="I12" s="92"/>
      <c r="J12" s="11"/>
      <c r="K12" s="75"/>
    </row>
    <row r="13" spans="1:11" s="79" customFormat="1" ht="42" x14ac:dyDescent="0.2">
      <c r="A13" s="72" t="s">
        <v>1</v>
      </c>
      <c r="B13" s="9" t="s">
        <v>321</v>
      </c>
      <c r="C13" s="89" t="s">
        <v>245</v>
      </c>
      <c r="D13" s="89" t="s">
        <v>650</v>
      </c>
      <c r="E13" s="4" t="s">
        <v>0</v>
      </c>
      <c r="F13" s="8" t="str">
        <f>IF('Self-Assessment_Cases'!I13="Implemented","5",IF('Self-Assessment_Cases'!I13="In Progress - Administrative","3",IF('Self-Assessment_Cases'!I13="In Progress - Configuration","3",IF('Self-Assessment_Cases'!I13="In Progress - Installation/Upgrade","3",IF('Self-Assessment_Cases'!I13="Not Implemented - Compensating Control","5",IF('Self-Assessment_Cases'!I13="Not Implemented - Risk Negligible","5",IF('Self-Assessment_Cases'!I13="Not Implemented - Risk Accepted","1",IF('Self-Assessment_Cases'!I13="Not Implemented - Planned","1",IF('Self-Assessment_Cases'!I13="Not Implemented - Unplanned","1",".")))))))))</f>
        <v>.</v>
      </c>
      <c r="G13" s="75" t="s">
        <v>390</v>
      </c>
      <c r="H13" s="14"/>
      <c r="I13" s="92"/>
      <c r="J13" s="11"/>
      <c r="K13" s="75"/>
    </row>
    <row r="14" spans="1:11" s="3" customFormat="1" ht="70" x14ac:dyDescent="0.2">
      <c r="A14" s="7" t="s">
        <v>254</v>
      </c>
      <c r="B14" s="9"/>
      <c r="C14" s="89" t="s">
        <v>247</v>
      </c>
      <c r="D14" s="88" t="s">
        <v>1101</v>
      </c>
      <c r="E14" s="4" t="s">
        <v>220</v>
      </c>
      <c r="F14" s="8" t="str">
        <f>IF('Self-Assessment_Cases'!I14="Implemented","5",IF('Self-Assessment_Cases'!I14="In Progress - Administrative","3",IF('Self-Assessment_Cases'!I14="In Progress - Configuration","3",IF('Self-Assessment_Cases'!I14="In Progress - Installation/Upgrade","3",IF('Self-Assessment_Cases'!I14="Not Implemented - Compensating Control","5",IF('Self-Assessment_Cases'!I14="Not Implemented - Risk Negligible","5",IF('Self-Assessment_Cases'!I14="Not Implemented - Risk Accepted","1",IF('Self-Assessment_Cases'!I14="Not Implemented - Planned","1",IF('Self-Assessment_Cases'!I14="Not Implemented - Unplanned","1",".")))))))))</f>
        <v>.</v>
      </c>
      <c r="G14" s="9" t="s">
        <v>640</v>
      </c>
      <c r="H14" s="14"/>
      <c r="I14" s="92"/>
      <c r="J14" s="14"/>
      <c r="K14" s="9"/>
    </row>
    <row r="15" spans="1:11" s="6" customFormat="1" ht="42" x14ac:dyDescent="0.2">
      <c r="A15" s="7" t="s">
        <v>254</v>
      </c>
      <c r="B15" s="9"/>
      <c r="C15" s="89" t="s">
        <v>247</v>
      </c>
      <c r="D15" s="88" t="s">
        <v>765</v>
      </c>
      <c r="E15" s="4" t="s">
        <v>220</v>
      </c>
      <c r="F15" s="8" t="str">
        <f>IF('Self-Assessment_Cases'!I15="Implemented","5",IF('Self-Assessment_Cases'!I15="In Progress - Administrative","3",IF('Self-Assessment_Cases'!I15="In Progress - Configuration","3",IF('Self-Assessment_Cases'!I15="In Progress - Installation/Upgrade","3",IF('Self-Assessment_Cases'!I15="Not Implemented - Compensating Control","5",IF('Self-Assessment_Cases'!I15="Not Implemented - Risk Negligible","5",IF('Self-Assessment_Cases'!I15="Not Implemented - Risk Accepted","1",IF('Self-Assessment_Cases'!I15="Not Implemented - Planned","1",IF('Self-Assessment_Cases'!I15="Not Implemented - Unplanned","1",".")))))))))</f>
        <v>.</v>
      </c>
      <c r="G15" s="9" t="s">
        <v>641</v>
      </c>
      <c r="H15" s="14"/>
      <c r="I15" s="92"/>
      <c r="J15" s="14"/>
      <c r="K15" s="9"/>
    </row>
    <row r="16" spans="1:11" s="3" customFormat="1" ht="56" x14ac:dyDescent="0.2">
      <c r="A16" s="7" t="s">
        <v>254</v>
      </c>
      <c r="B16" s="9"/>
      <c r="C16" s="89" t="s">
        <v>247</v>
      </c>
      <c r="D16" s="88" t="s">
        <v>857</v>
      </c>
      <c r="E16" s="4" t="s">
        <v>220</v>
      </c>
      <c r="F16" s="8" t="str">
        <f>IF('Self-Assessment_Cases'!I16="Implemented","5",IF('Self-Assessment_Cases'!I16="In Progress - Administrative","3",IF('Self-Assessment_Cases'!I16="In Progress - Configuration","3",IF('Self-Assessment_Cases'!I16="In Progress - Installation/Upgrade","3",IF('Self-Assessment_Cases'!I16="Not Implemented - Compensating Control","5",IF('Self-Assessment_Cases'!I16="Not Implemented - Risk Negligible","5",IF('Self-Assessment_Cases'!I16="Not Implemented - Risk Accepted","1",IF('Self-Assessment_Cases'!I16="Not Implemented - Planned","1",IF('Self-Assessment_Cases'!I16="Not Implemented - Unplanned","1",".")))))))))</f>
        <v>.</v>
      </c>
      <c r="G16" s="9" t="s">
        <v>642</v>
      </c>
      <c r="H16" s="14"/>
      <c r="I16" s="92"/>
      <c r="J16" s="14"/>
      <c r="K16" s="9"/>
    </row>
    <row r="17" spans="1:11" s="3" customFormat="1" ht="42" x14ac:dyDescent="0.2">
      <c r="A17" s="7" t="s">
        <v>254</v>
      </c>
      <c r="B17" s="9"/>
      <c r="C17" s="89" t="s">
        <v>247</v>
      </c>
      <c r="D17" s="88" t="s">
        <v>924</v>
      </c>
      <c r="E17" s="4" t="s">
        <v>220</v>
      </c>
      <c r="F17" s="8" t="str">
        <f>IF('Self-Assessment_Cases'!I17="Implemented","5",IF('Self-Assessment_Cases'!I17="In Progress - Administrative","3",IF('Self-Assessment_Cases'!I17="In Progress - Configuration","3",IF('Self-Assessment_Cases'!I17="In Progress - Installation/Upgrade","3",IF('Self-Assessment_Cases'!I17="Not Implemented - Compensating Control","5",IF('Self-Assessment_Cases'!I17="Not Implemented - Risk Negligible","5",IF('Self-Assessment_Cases'!I17="Not Implemented - Risk Accepted","1",IF('Self-Assessment_Cases'!I17="Not Implemented - Planned","1",IF('Self-Assessment_Cases'!I17="Not Implemented - Unplanned","1",".")))))))))</f>
        <v>.</v>
      </c>
      <c r="G17" s="9" t="s">
        <v>643</v>
      </c>
      <c r="H17" s="14"/>
      <c r="I17" s="92"/>
      <c r="J17" s="14"/>
      <c r="K17" s="9"/>
    </row>
    <row r="18" spans="1:11" s="79" customFormat="1" ht="42" x14ac:dyDescent="0.2">
      <c r="A18" s="72" t="s">
        <v>14</v>
      </c>
      <c r="B18" s="9" t="s">
        <v>322</v>
      </c>
      <c r="C18" s="89" t="s">
        <v>245</v>
      </c>
      <c r="D18" s="89" t="s">
        <v>1102</v>
      </c>
      <c r="E18" s="4" t="s">
        <v>13</v>
      </c>
      <c r="F18" s="8" t="str">
        <f>IF('Self-Assessment_Cases'!I18="Implemented","5",IF('Self-Assessment_Cases'!I18="In Progress - Administrative","3",IF('Self-Assessment_Cases'!I18="In Progress - Configuration","3",IF('Self-Assessment_Cases'!I18="In Progress - Installation/Upgrade","3",IF('Self-Assessment_Cases'!I18="Not Implemented - Compensating Control","5",IF('Self-Assessment_Cases'!I18="Not Implemented - Risk Negligible","5",IF('Self-Assessment_Cases'!I18="Not Implemented - Risk Accepted","1",IF('Self-Assessment_Cases'!I18="Not Implemented - Planned","1",IF('Self-Assessment_Cases'!I18="Not Implemented - Unplanned","1",".")))))))))</f>
        <v>.</v>
      </c>
      <c r="G18" s="75" t="s">
        <v>395</v>
      </c>
      <c r="H18" s="14"/>
      <c r="I18" s="92"/>
      <c r="J18" s="11"/>
      <c r="K18" s="75"/>
    </row>
    <row r="19" spans="1:11" s="79" customFormat="1" ht="42" x14ac:dyDescent="0.2">
      <c r="A19" s="72" t="s">
        <v>14</v>
      </c>
      <c r="B19" s="9" t="s">
        <v>322</v>
      </c>
      <c r="C19" s="89" t="s">
        <v>245</v>
      </c>
      <c r="D19" s="89" t="s">
        <v>766</v>
      </c>
      <c r="E19" s="4" t="s">
        <v>13</v>
      </c>
      <c r="F19" s="8" t="str">
        <f>IF('Self-Assessment_Cases'!I19="Implemented","5",IF('Self-Assessment_Cases'!I19="In Progress - Administrative","3",IF('Self-Assessment_Cases'!I19="In Progress - Configuration","3",IF('Self-Assessment_Cases'!I19="In Progress - Installation/Upgrade","3",IF('Self-Assessment_Cases'!I19="Not Implemented - Compensating Control","5",IF('Self-Assessment_Cases'!I19="Not Implemented - Risk Negligible","5",IF('Self-Assessment_Cases'!I19="Not Implemented - Risk Accepted","1",IF('Self-Assessment_Cases'!I19="Not Implemented - Planned","1",IF('Self-Assessment_Cases'!I19="Not Implemented - Unplanned","1",".")))))))))</f>
        <v>.</v>
      </c>
      <c r="G19" s="75" t="s">
        <v>396</v>
      </c>
      <c r="H19" s="14"/>
      <c r="I19" s="92"/>
      <c r="J19" s="11"/>
      <c r="K19" s="75"/>
    </row>
    <row r="20" spans="1:11" s="79" customFormat="1" ht="42" x14ac:dyDescent="0.2">
      <c r="A20" s="72" t="s">
        <v>14</v>
      </c>
      <c r="B20" s="9" t="s">
        <v>322</v>
      </c>
      <c r="C20" s="89" t="s">
        <v>245</v>
      </c>
      <c r="D20" s="89" t="s">
        <v>858</v>
      </c>
      <c r="E20" s="4" t="s">
        <v>13</v>
      </c>
      <c r="F20" s="8" t="str">
        <f>IF('Self-Assessment_Cases'!I20="Implemented","5",IF('Self-Assessment_Cases'!I20="In Progress - Administrative","3",IF('Self-Assessment_Cases'!I20="In Progress - Configuration","3",IF('Self-Assessment_Cases'!I20="In Progress - Installation/Upgrade","3",IF('Self-Assessment_Cases'!I20="Not Implemented - Compensating Control","5",IF('Self-Assessment_Cases'!I20="Not Implemented - Risk Negligible","5",IF('Self-Assessment_Cases'!I20="Not Implemented - Risk Accepted","1",IF('Self-Assessment_Cases'!I20="Not Implemented - Planned","1",IF('Self-Assessment_Cases'!I20="Not Implemented - Unplanned","1",".")))))))))</f>
        <v>.</v>
      </c>
      <c r="G20" s="75" t="s">
        <v>397</v>
      </c>
      <c r="H20" s="14"/>
      <c r="I20" s="92"/>
      <c r="J20" s="11"/>
      <c r="K20" s="75"/>
    </row>
    <row r="21" spans="1:11" s="79" customFormat="1" ht="28" x14ac:dyDescent="0.2">
      <c r="A21" s="72" t="s">
        <v>14</v>
      </c>
      <c r="B21" s="9" t="s">
        <v>322</v>
      </c>
      <c r="C21" s="89" t="s">
        <v>245</v>
      </c>
      <c r="D21" s="89" t="s">
        <v>925</v>
      </c>
      <c r="E21" s="4" t="s">
        <v>13</v>
      </c>
      <c r="F21" s="8" t="str">
        <f>IF('Self-Assessment_Cases'!I21="Implemented","5",IF('Self-Assessment_Cases'!I21="In Progress - Administrative","3",IF('Self-Assessment_Cases'!I21="In Progress - Configuration","3",IF('Self-Assessment_Cases'!I21="In Progress - Installation/Upgrade","3",IF('Self-Assessment_Cases'!I21="Not Implemented - Compensating Control","5",IF('Self-Assessment_Cases'!I21="Not Implemented - Risk Negligible","5",IF('Self-Assessment_Cases'!I21="Not Implemented - Risk Accepted","1",IF('Self-Assessment_Cases'!I21="Not Implemented - Planned","1",IF('Self-Assessment_Cases'!I21="Not Implemented - Unplanned","1",".")))))))))</f>
        <v>.</v>
      </c>
      <c r="G21" s="75" t="s">
        <v>393</v>
      </c>
      <c r="H21" s="14"/>
      <c r="I21" s="92"/>
      <c r="J21" s="11"/>
      <c r="K21" s="75"/>
    </row>
    <row r="22" spans="1:11" s="79" customFormat="1" ht="42" x14ac:dyDescent="0.2">
      <c r="A22" s="72" t="s">
        <v>14</v>
      </c>
      <c r="B22" s="9" t="s">
        <v>322</v>
      </c>
      <c r="C22" s="89" t="s">
        <v>245</v>
      </c>
      <c r="D22" s="89" t="s">
        <v>976</v>
      </c>
      <c r="E22" s="4" t="s">
        <v>13</v>
      </c>
      <c r="F22" s="8" t="str">
        <f>IF('Self-Assessment_Cases'!I22="Implemented","5",IF('Self-Assessment_Cases'!I22="In Progress - Administrative","3",IF('Self-Assessment_Cases'!I22="In Progress - Configuration","3",IF('Self-Assessment_Cases'!I22="In Progress - Installation/Upgrade","3",IF('Self-Assessment_Cases'!I22="Not Implemented - Compensating Control","5",IF('Self-Assessment_Cases'!I22="Not Implemented - Risk Negligible","5",IF('Self-Assessment_Cases'!I22="Not Implemented - Risk Accepted","1",IF('Self-Assessment_Cases'!I22="Not Implemented - Planned","1",IF('Self-Assessment_Cases'!I22="Not Implemented - Unplanned","1",".")))))))))</f>
        <v>.</v>
      </c>
      <c r="G22" s="75" t="s">
        <v>394</v>
      </c>
      <c r="H22" s="14"/>
      <c r="I22" s="92"/>
      <c r="J22" s="11"/>
      <c r="K22" s="75"/>
    </row>
    <row r="23" spans="1:11" s="79" customFormat="1" ht="70" x14ac:dyDescent="0.2">
      <c r="A23" s="72" t="s">
        <v>14</v>
      </c>
      <c r="B23" s="9" t="s">
        <v>323</v>
      </c>
      <c r="C23" s="89" t="s">
        <v>245</v>
      </c>
      <c r="D23" s="89" t="s">
        <v>1012</v>
      </c>
      <c r="E23" s="4" t="s">
        <v>13</v>
      </c>
      <c r="F23" s="8" t="str">
        <f>IF('Self-Assessment_Cases'!I23="Implemented","5",IF('Self-Assessment_Cases'!I23="In Progress - Administrative","3",IF('Self-Assessment_Cases'!I23="In Progress - Configuration","3",IF('Self-Assessment_Cases'!I23="In Progress - Installation/Upgrade","3",IF('Self-Assessment_Cases'!I23="Not Implemented - Compensating Control","5",IF('Self-Assessment_Cases'!I23="Not Implemented - Risk Negligible","5",IF('Self-Assessment_Cases'!I23="Not Implemented - Risk Accepted","1",IF('Self-Assessment_Cases'!I23="Not Implemented - Planned","1",IF('Self-Assessment_Cases'!I23="Not Implemented - Unplanned","1",".")))))))))</f>
        <v>.</v>
      </c>
      <c r="G23" s="75" t="s">
        <v>731</v>
      </c>
      <c r="H23" s="14"/>
      <c r="I23" s="92"/>
      <c r="J23" s="11"/>
      <c r="K23" s="75"/>
    </row>
    <row r="24" spans="1:11" s="79" customFormat="1" ht="42" x14ac:dyDescent="0.2">
      <c r="A24" s="72" t="s">
        <v>14</v>
      </c>
      <c r="B24" s="9" t="s">
        <v>323</v>
      </c>
      <c r="C24" s="89" t="s">
        <v>245</v>
      </c>
      <c r="D24" s="89" t="s">
        <v>1038</v>
      </c>
      <c r="E24" s="4" t="s">
        <v>13</v>
      </c>
      <c r="F24" s="8" t="str">
        <f>IF('Self-Assessment_Cases'!I24="Implemented","5",IF('Self-Assessment_Cases'!I24="In Progress - Administrative","3",IF('Self-Assessment_Cases'!I24="In Progress - Configuration","3",IF('Self-Assessment_Cases'!I24="In Progress - Installation/Upgrade","3",IF('Self-Assessment_Cases'!I24="Not Implemented - Compensating Control","5",IF('Self-Assessment_Cases'!I24="Not Implemented - Risk Negligible","5",IF('Self-Assessment_Cases'!I24="Not Implemented - Risk Accepted","1",IF('Self-Assessment_Cases'!I24="Not Implemented - Planned","1",IF('Self-Assessment_Cases'!I24="Not Implemented - Unplanned","1",".")))))))))</f>
        <v>.</v>
      </c>
      <c r="G24" s="75" t="s">
        <v>398</v>
      </c>
      <c r="H24" s="14"/>
      <c r="I24" s="92"/>
      <c r="J24" s="11"/>
      <c r="K24" s="75"/>
    </row>
    <row r="25" spans="1:11" s="81" customFormat="1" ht="56" x14ac:dyDescent="0.2">
      <c r="A25" s="72" t="s">
        <v>14</v>
      </c>
      <c r="B25" s="9" t="s">
        <v>324</v>
      </c>
      <c r="C25" s="89" t="s">
        <v>245</v>
      </c>
      <c r="D25" s="89" t="s">
        <v>1062</v>
      </c>
      <c r="E25" s="4" t="s">
        <v>13</v>
      </c>
      <c r="F25" s="8" t="str">
        <f>IF('Self-Assessment_Cases'!I25="Implemented","5",IF('Self-Assessment_Cases'!I25="In Progress - Administrative","3",IF('Self-Assessment_Cases'!I25="In Progress - Configuration","3",IF('Self-Assessment_Cases'!I25="In Progress - Installation/Upgrade","3",IF('Self-Assessment_Cases'!I25="Not Implemented - Compensating Control","5",IF('Self-Assessment_Cases'!I25="Not Implemented - Risk Negligible","5",IF('Self-Assessment_Cases'!I25="Not Implemented - Risk Accepted","1",IF('Self-Assessment_Cases'!I25="Not Implemented - Planned","1",IF('Self-Assessment_Cases'!I25="Not Implemented - Unplanned","1",".")))))))))</f>
        <v>.</v>
      </c>
      <c r="G25" s="75" t="s">
        <v>732</v>
      </c>
      <c r="H25" s="14"/>
      <c r="I25" s="92"/>
      <c r="J25" s="11"/>
      <c r="K25" s="75"/>
    </row>
    <row r="26" spans="1:11" s="81" customFormat="1" ht="42" x14ac:dyDescent="0.2">
      <c r="A26" s="72" t="s">
        <v>14</v>
      </c>
      <c r="B26" s="9" t="s">
        <v>324</v>
      </c>
      <c r="C26" s="89" t="s">
        <v>245</v>
      </c>
      <c r="D26" s="89" t="s">
        <v>1082</v>
      </c>
      <c r="E26" s="4" t="s">
        <v>13</v>
      </c>
      <c r="F26" s="8" t="str">
        <f>IF('Self-Assessment_Cases'!I26="Implemented","5",IF('Self-Assessment_Cases'!I26="In Progress - Administrative","3",IF('Self-Assessment_Cases'!I26="In Progress - Configuration","3",IF('Self-Assessment_Cases'!I26="In Progress - Installation/Upgrade","3",IF('Self-Assessment_Cases'!I26="Not Implemented - Compensating Control","5",IF('Self-Assessment_Cases'!I26="Not Implemented - Risk Negligible","5",IF('Self-Assessment_Cases'!I26="Not Implemented - Risk Accepted","1",IF('Self-Assessment_Cases'!I26="Not Implemented - Planned","1",IF('Self-Assessment_Cases'!I26="Not Implemented - Unplanned","1",".")))))))))</f>
        <v>.</v>
      </c>
      <c r="G26" s="75" t="s">
        <v>399</v>
      </c>
      <c r="H26" s="14"/>
      <c r="I26" s="92"/>
      <c r="J26" s="11"/>
      <c r="K26" s="75"/>
    </row>
    <row r="27" spans="1:11" s="81" customFormat="1" ht="56" x14ac:dyDescent="0.2">
      <c r="A27" s="72" t="s">
        <v>16</v>
      </c>
      <c r="B27" s="9" t="s">
        <v>325</v>
      </c>
      <c r="C27" s="89" t="s">
        <v>245</v>
      </c>
      <c r="D27" s="89" t="s">
        <v>1103</v>
      </c>
      <c r="E27" s="4" t="s">
        <v>15</v>
      </c>
      <c r="F27" s="8" t="str">
        <f>IF('Self-Assessment_Cases'!I27="Implemented","5",IF('Self-Assessment_Cases'!I27="In Progress - Administrative","3",IF('Self-Assessment_Cases'!I27="In Progress - Configuration","3",IF('Self-Assessment_Cases'!I27="In Progress - Installation/Upgrade","3",IF('Self-Assessment_Cases'!I27="Not Implemented - Compensating Control","5",IF('Self-Assessment_Cases'!I27="Not Implemented - Risk Negligible","5",IF('Self-Assessment_Cases'!I27="Not Implemented - Risk Accepted","1",IF('Self-Assessment_Cases'!I27="Not Implemented - Planned","1",IF('Self-Assessment_Cases'!I27="Not Implemented - Unplanned","1",".")))))))))</f>
        <v>.</v>
      </c>
      <c r="G27" s="75" t="s">
        <v>400</v>
      </c>
      <c r="H27" s="14"/>
      <c r="I27" s="92"/>
      <c r="J27" s="11"/>
      <c r="K27" s="75"/>
    </row>
    <row r="28" spans="1:11" s="81" customFormat="1" ht="70" x14ac:dyDescent="0.2">
      <c r="A28" s="72" t="s">
        <v>16</v>
      </c>
      <c r="B28" s="9" t="s">
        <v>325</v>
      </c>
      <c r="C28" s="89" t="s">
        <v>245</v>
      </c>
      <c r="D28" s="89" t="s">
        <v>767</v>
      </c>
      <c r="E28" s="4" t="s">
        <v>15</v>
      </c>
      <c r="F28" s="8" t="str">
        <f>IF('Self-Assessment_Cases'!I28="Implemented","5",IF('Self-Assessment_Cases'!I28="In Progress - Administrative","3",IF('Self-Assessment_Cases'!I28="In Progress - Configuration","3",IF('Self-Assessment_Cases'!I28="In Progress - Installation/Upgrade","3",IF('Self-Assessment_Cases'!I28="Not Implemented - Compensating Control","5",IF('Self-Assessment_Cases'!I28="Not Implemented - Risk Negligible","5",IF('Self-Assessment_Cases'!I28="Not Implemented - Risk Accepted","1",IF('Self-Assessment_Cases'!I28="Not Implemented - Planned","1",IF('Self-Assessment_Cases'!I28="Not Implemented - Unplanned","1",".")))))))))</f>
        <v>.</v>
      </c>
      <c r="G28" s="75" t="s">
        <v>733</v>
      </c>
      <c r="H28" s="14"/>
      <c r="I28" s="92"/>
      <c r="J28" s="11"/>
      <c r="K28" s="75"/>
    </row>
    <row r="29" spans="1:11" s="81" customFormat="1" ht="42" x14ac:dyDescent="0.2">
      <c r="A29" s="72" t="s">
        <v>16</v>
      </c>
      <c r="B29" s="9" t="s">
        <v>325</v>
      </c>
      <c r="C29" s="89" t="s">
        <v>245</v>
      </c>
      <c r="D29" s="89" t="s">
        <v>859</v>
      </c>
      <c r="E29" s="4" t="s">
        <v>15</v>
      </c>
      <c r="F29" s="8" t="str">
        <f>IF('Self-Assessment_Cases'!I29="Implemented","5",IF('Self-Assessment_Cases'!I29="In Progress - Administrative","3",IF('Self-Assessment_Cases'!I29="In Progress - Configuration","3",IF('Self-Assessment_Cases'!I29="In Progress - Installation/Upgrade","3",IF('Self-Assessment_Cases'!I29="Not Implemented - Compensating Control","5",IF('Self-Assessment_Cases'!I29="Not Implemented - Risk Negligible","5",IF('Self-Assessment_Cases'!I29="Not Implemented - Risk Accepted","1",IF('Self-Assessment_Cases'!I29="Not Implemented - Planned","1",IF('Self-Assessment_Cases'!I29="Not Implemented - Unplanned","1",".")))))))))</f>
        <v>.</v>
      </c>
      <c r="G29" s="80" t="s">
        <v>401</v>
      </c>
      <c r="H29" s="14"/>
      <c r="I29" s="92"/>
      <c r="J29" s="11"/>
      <c r="K29" s="75"/>
    </row>
    <row r="30" spans="1:11" s="5" customFormat="1" ht="112" x14ac:dyDescent="0.2">
      <c r="A30" s="4" t="s">
        <v>18</v>
      </c>
      <c r="B30" s="9" t="s">
        <v>326</v>
      </c>
      <c r="C30" s="89" t="s">
        <v>246</v>
      </c>
      <c r="D30" s="89" t="s">
        <v>1104</v>
      </c>
      <c r="E30" s="4" t="s">
        <v>17</v>
      </c>
      <c r="F30" s="8" t="str">
        <f>IF('Self-Assessment_Cases'!I30="Implemented","5",IF('Self-Assessment_Cases'!I30="In Progress - Administrative","3",IF('Self-Assessment_Cases'!I30="In Progress - Configuration","3",IF('Self-Assessment_Cases'!I30="In Progress - Installation/Upgrade","3",IF('Self-Assessment_Cases'!I30="Not Implemented - Compensating Control","5",IF('Self-Assessment_Cases'!I30="Not Implemented - Risk Negligible","5",IF('Self-Assessment_Cases'!I30="Not Implemented - Risk Accepted","1",IF('Self-Assessment_Cases'!I30="Not Implemented - Planned","1",IF('Self-Assessment_Cases'!I30="Not Implemented - Unplanned","1",".")))))))))</f>
        <v>.</v>
      </c>
      <c r="G30" s="13" t="s">
        <v>1422</v>
      </c>
      <c r="H30" s="14"/>
      <c r="I30" s="92"/>
      <c r="J30" s="93"/>
      <c r="K30" s="85"/>
    </row>
    <row r="31" spans="1:11" s="5" customFormat="1" ht="210.75" customHeight="1" x14ac:dyDescent="0.2">
      <c r="A31" s="4" t="s">
        <v>18</v>
      </c>
      <c r="B31" s="9" t="s">
        <v>326</v>
      </c>
      <c r="C31" s="89" t="s">
        <v>246</v>
      </c>
      <c r="D31" s="89" t="s">
        <v>768</v>
      </c>
      <c r="E31" s="4" t="s">
        <v>17</v>
      </c>
      <c r="F31" s="8" t="str">
        <f>IF('Self-Assessment_Cases'!I31="Implemented","5",IF('Self-Assessment_Cases'!I31="In Progress - Administrative","3",IF('Self-Assessment_Cases'!I31="In Progress - Configuration","3",IF('Self-Assessment_Cases'!I31="In Progress - Installation/Upgrade","3",IF('Self-Assessment_Cases'!I31="Not Implemented - Compensating Control","5",IF('Self-Assessment_Cases'!I31="Not Implemented - Risk Negligible","5",IF('Self-Assessment_Cases'!I31="Not Implemented - Risk Accepted","1",IF('Self-Assessment_Cases'!I31="Not Implemented - Planned","1",IF('Self-Assessment_Cases'!I31="Not Implemented - Unplanned","1",".")))))))))</f>
        <v>.</v>
      </c>
      <c r="G31" s="13" t="s">
        <v>740</v>
      </c>
      <c r="H31" s="14"/>
      <c r="I31" s="92"/>
      <c r="J31" s="93"/>
      <c r="K31" s="85"/>
    </row>
    <row r="32" spans="1:11" s="81" customFormat="1" ht="56" x14ac:dyDescent="0.2">
      <c r="A32" s="72" t="s">
        <v>656</v>
      </c>
      <c r="B32" s="9" t="s">
        <v>319</v>
      </c>
      <c r="C32" s="89" t="s">
        <v>245</v>
      </c>
      <c r="D32" s="89" t="s">
        <v>1105</v>
      </c>
      <c r="E32" s="4" t="s">
        <v>2</v>
      </c>
      <c r="F32" s="8" t="str">
        <f>IF('Self-Assessment_Cases'!I32="Implemented","5",IF('Self-Assessment_Cases'!I32="In Progress - Administrative","3",IF('Self-Assessment_Cases'!I32="In Progress - Configuration","3",IF('Self-Assessment_Cases'!I32="In Progress - Installation/Upgrade","3",IF('Self-Assessment_Cases'!I32="Not Implemented - Compensating Control","5",IF('Self-Assessment_Cases'!I32="Not Implemented - Risk Negligible","5",IF('Self-Assessment_Cases'!I32="Not Implemented - Risk Accepted","1",IF('Self-Assessment_Cases'!I32="Not Implemented - Planned","1",IF('Self-Assessment_Cases'!I32="Not Implemented - Unplanned","1",".")))))))))</f>
        <v>.</v>
      </c>
      <c r="G32" s="82" t="s">
        <v>734</v>
      </c>
      <c r="H32" s="14"/>
      <c r="I32" s="92"/>
      <c r="J32" s="11"/>
      <c r="K32" s="94"/>
    </row>
    <row r="33" spans="1:11" s="83" customFormat="1" ht="28" x14ac:dyDescent="0.2">
      <c r="A33" s="72" t="s">
        <v>656</v>
      </c>
      <c r="B33" s="9" t="s">
        <v>319</v>
      </c>
      <c r="C33" s="89" t="s">
        <v>245</v>
      </c>
      <c r="D33" s="89" t="s">
        <v>769</v>
      </c>
      <c r="E33" s="4" t="s">
        <v>2</v>
      </c>
      <c r="F33" s="8" t="str">
        <f>IF('Self-Assessment_Cases'!I33="Implemented","5",IF('Self-Assessment_Cases'!I33="In Progress - Administrative","3",IF('Self-Assessment_Cases'!I33="In Progress - Configuration","3",IF('Self-Assessment_Cases'!I33="In Progress - Installation/Upgrade","3",IF('Self-Assessment_Cases'!I33="Not Implemented - Compensating Control","5",IF('Self-Assessment_Cases'!I33="Not Implemented - Risk Negligible","5",IF('Self-Assessment_Cases'!I33="Not Implemented - Risk Accepted","1",IF('Self-Assessment_Cases'!I33="Not Implemented - Planned","1",IF('Self-Assessment_Cases'!I33="Not Implemented - Unplanned","1",".")))))))))</f>
        <v>.</v>
      </c>
      <c r="G33" s="82" t="s">
        <v>758</v>
      </c>
      <c r="H33" s="14"/>
      <c r="I33" s="92"/>
      <c r="J33" s="11"/>
      <c r="K33" s="94"/>
    </row>
    <row r="34" spans="1:11" s="83" customFormat="1" ht="28" x14ac:dyDescent="0.2">
      <c r="A34" s="72" t="s">
        <v>656</v>
      </c>
      <c r="B34" s="9" t="s">
        <v>319</v>
      </c>
      <c r="C34" s="89" t="s">
        <v>245</v>
      </c>
      <c r="D34" s="89" t="s">
        <v>860</v>
      </c>
      <c r="E34" s="4" t="s">
        <v>2</v>
      </c>
      <c r="F34" s="8" t="str">
        <f>IF('Self-Assessment_Cases'!I34="Implemented","5",IF('Self-Assessment_Cases'!I34="In Progress - Administrative","3",IF('Self-Assessment_Cases'!I34="In Progress - Configuration","3",IF('Self-Assessment_Cases'!I34="In Progress - Installation/Upgrade","3",IF('Self-Assessment_Cases'!I34="Not Implemented - Compensating Control","5",IF('Self-Assessment_Cases'!I34="Not Implemented - Risk Negligible","5",IF('Self-Assessment_Cases'!I34="Not Implemented - Risk Accepted","1",IF('Self-Assessment_Cases'!I34="Not Implemented - Planned","1",IF('Self-Assessment_Cases'!I34="Not Implemented - Unplanned","1",".")))))))))</f>
        <v>.</v>
      </c>
      <c r="G34" s="82" t="s">
        <v>759</v>
      </c>
      <c r="H34" s="14"/>
      <c r="I34" s="92"/>
      <c r="J34" s="11"/>
      <c r="K34" s="94"/>
    </row>
    <row r="35" spans="1:11" s="83" customFormat="1" ht="42" x14ac:dyDescent="0.2">
      <c r="A35" s="72" t="s">
        <v>656</v>
      </c>
      <c r="B35" s="9" t="s">
        <v>319</v>
      </c>
      <c r="C35" s="89" t="s">
        <v>245</v>
      </c>
      <c r="D35" s="89" t="s">
        <v>926</v>
      </c>
      <c r="E35" s="4" t="s">
        <v>2</v>
      </c>
      <c r="F35" s="8" t="str">
        <f>IF('Self-Assessment_Cases'!I35="Implemented","5",IF('Self-Assessment_Cases'!I35="In Progress - Administrative","3",IF('Self-Assessment_Cases'!I35="In Progress - Configuration","3",IF('Self-Assessment_Cases'!I35="In Progress - Installation/Upgrade","3",IF('Self-Assessment_Cases'!I35="Not Implemented - Compensating Control","5",IF('Self-Assessment_Cases'!I35="Not Implemented - Risk Negligible","5",IF('Self-Assessment_Cases'!I35="Not Implemented - Risk Accepted","1",IF('Self-Assessment_Cases'!I35="Not Implemented - Planned","1",IF('Self-Assessment_Cases'!I35="Not Implemented - Unplanned","1",".")))))))))</f>
        <v>.</v>
      </c>
      <c r="G35" s="82" t="s">
        <v>760</v>
      </c>
      <c r="H35" s="14"/>
      <c r="I35" s="92"/>
      <c r="J35" s="11"/>
      <c r="K35" s="94"/>
    </row>
    <row r="36" spans="1:11" s="83" customFormat="1" ht="28" x14ac:dyDescent="0.2">
      <c r="A36" s="72" t="s">
        <v>656</v>
      </c>
      <c r="B36" s="9" t="s">
        <v>319</v>
      </c>
      <c r="C36" s="89" t="s">
        <v>245</v>
      </c>
      <c r="D36" s="89" t="s">
        <v>977</v>
      </c>
      <c r="E36" s="4" t="s">
        <v>2</v>
      </c>
      <c r="F36" s="8" t="str">
        <f>IF('Self-Assessment_Cases'!I36="Implemented","5",IF('Self-Assessment_Cases'!I36="In Progress - Administrative","3",IF('Self-Assessment_Cases'!I36="In Progress - Configuration","3",IF('Self-Assessment_Cases'!I36="In Progress - Installation/Upgrade","3",IF('Self-Assessment_Cases'!I36="Not Implemented - Compensating Control","5",IF('Self-Assessment_Cases'!I36="Not Implemented - Risk Negligible","5",IF('Self-Assessment_Cases'!I36="Not Implemented - Risk Accepted","1",IF('Self-Assessment_Cases'!I36="Not Implemented - Planned","1",IF('Self-Assessment_Cases'!I36="Not Implemented - Unplanned","1",".")))))))))</f>
        <v>.</v>
      </c>
      <c r="G36" s="82" t="s">
        <v>761</v>
      </c>
      <c r="H36" s="14"/>
      <c r="I36" s="92"/>
      <c r="J36" s="11"/>
      <c r="K36" s="94"/>
    </row>
    <row r="37" spans="1:11" s="83" customFormat="1" ht="42" x14ac:dyDescent="0.2">
      <c r="A37" s="72" t="s">
        <v>656</v>
      </c>
      <c r="B37" s="9" t="s">
        <v>319</v>
      </c>
      <c r="C37" s="89" t="s">
        <v>245</v>
      </c>
      <c r="D37" s="89" t="s">
        <v>1013</v>
      </c>
      <c r="E37" s="4" t="s">
        <v>2</v>
      </c>
      <c r="F37" s="8" t="str">
        <f>IF('Self-Assessment_Cases'!I37="Implemented","5",IF('Self-Assessment_Cases'!I37="In Progress - Administrative","3",IF('Self-Assessment_Cases'!I37="In Progress - Configuration","3",IF('Self-Assessment_Cases'!I37="In Progress - Installation/Upgrade","3",IF('Self-Assessment_Cases'!I37="Not Implemented - Compensating Control","5",IF('Self-Assessment_Cases'!I37="Not Implemented - Risk Negligible","5",IF('Self-Assessment_Cases'!I37="Not Implemented - Risk Accepted","1",IF('Self-Assessment_Cases'!I37="Not Implemented - Planned","1",IF('Self-Assessment_Cases'!I37="Not Implemented - Unplanned","1",".")))))))))</f>
        <v>.</v>
      </c>
      <c r="G37" s="82" t="s">
        <v>762</v>
      </c>
      <c r="H37" s="14"/>
      <c r="I37" s="92"/>
      <c r="J37" s="11"/>
      <c r="K37" s="94"/>
    </row>
    <row r="38" spans="1:11" s="83" customFormat="1" ht="28" x14ac:dyDescent="0.2">
      <c r="A38" s="72" t="s">
        <v>656</v>
      </c>
      <c r="B38" s="9" t="s">
        <v>319</v>
      </c>
      <c r="C38" s="89" t="s">
        <v>245</v>
      </c>
      <c r="D38" s="89" t="s">
        <v>1039</v>
      </c>
      <c r="E38" s="4" t="s">
        <v>2</v>
      </c>
      <c r="F38" s="8" t="str">
        <f>IF('Self-Assessment_Cases'!I38="Implemented","5",IF('Self-Assessment_Cases'!I38="In Progress - Administrative","3",IF('Self-Assessment_Cases'!I38="In Progress - Configuration","3",IF('Self-Assessment_Cases'!I38="In Progress - Installation/Upgrade","3",IF('Self-Assessment_Cases'!I38="Not Implemented - Compensating Control","5",IF('Self-Assessment_Cases'!I38="Not Implemented - Risk Negligible","5",IF('Self-Assessment_Cases'!I38="Not Implemented - Risk Accepted","1",IF('Self-Assessment_Cases'!I38="Not Implemented - Planned","1",IF('Self-Assessment_Cases'!I38="Not Implemented - Unplanned","1",".")))))))))</f>
        <v>.</v>
      </c>
      <c r="G38" s="82" t="s">
        <v>763</v>
      </c>
      <c r="H38" s="14"/>
      <c r="I38" s="92"/>
      <c r="J38" s="11"/>
      <c r="K38" s="94"/>
    </row>
    <row r="39" spans="1:11" s="6" customFormat="1" ht="42" x14ac:dyDescent="0.2">
      <c r="A39" s="72" t="s">
        <v>656</v>
      </c>
      <c r="B39" s="9" t="s">
        <v>319</v>
      </c>
      <c r="C39" s="89" t="s">
        <v>245</v>
      </c>
      <c r="D39" s="89" t="s">
        <v>1264</v>
      </c>
      <c r="E39" s="4" t="s">
        <v>2</v>
      </c>
      <c r="F39" s="8" t="str">
        <f>IF('Self-Assessment_Cases'!I39="Implemented","5",IF('Self-Assessment_Cases'!I39="In Progress - Administrative","3",IF('Self-Assessment_Cases'!I39="In Progress - Configuration","3",IF('Self-Assessment_Cases'!I39="In Progress - Installation/Upgrade","3",IF('Self-Assessment_Cases'!I39="Not Implemented - Compensating Control","5",IF('Self-Assessment_Cases'!I39="Not Implemented - Risk Negligible","5",IF('Self-Assessment_Cases'!I39="Not Implemented - Risk Accepted","1",IF('Self-Assessment_Cases'!I39="Not Implemented - Planned","1",IF('Self-Assessment_Cases'!I39="Not Implemented - Unplanned","1",".")))))))))</f>
        <v>.</v>
      </c>
      <c r="G39" s="13" t="s">
        <v>582</v>
      </c>
      <c r="H39" s="14"/>
      <c r="I39" s="92"/>
      <c r="J39" s="14"/>
      <c r="K39" s="9"/>
    </row>
    <row r="40" spans="1:11" s="6" customFormat="1" ht="56" x14ac:dyDescent="0.2">
      <c r="A40" s="72" t="s">
        <v>656</v>
      </c>
      <c r="B40" s="9" t="s">
        <v>319</v>
      </c>
      <c r="C40" s="89" t="s">
        <v>245</v>
      </c>
      <c r="D40" s="89" t="s">
        <v>1265</v>
      </c>
      <c r="E40" s="4" t="s">
        <v>2</v>
      </c>
      <c r="F40" s="8" t="str">
        <f>IF('Self-Assessment_Cases'!I40="Implemented","5",IF('Self-Assessment_Cases'!I40="In Progress - Administrative","3",IF('Self-Assessment_Cases'!I40="In Progress - Configuration","3",IF('Self-Assessment_Cases'!I40="In Progress - Installation/Upgrade","3",IF('Self-Assessment_Cases'!I40="Not Implemented - Compensating Control","5",IF('Self-Assessment_Cases'!I40="Not Implemented - Risk Negligible","5",IF('Self-Assessment_Cases'!I40="Not Implemented - Risk Accepted","1",IF('Self-Assessment_Cases'!I40="Not Implemented - Planned","1",IF('Self-Assessment_Cases'!I40="Not Implemented - Unplanned","1",".")))))))))</f>
        <v>.</v>
      </c>
      <c r="G40" s="9" t="s">
        <v>583</v>
      </c>
      <c r="H40" s="14"/>
      <c r="I40" s="92"/>
      <c r="J40" s="14"/>
      <c r="K40" s="9"/>
    </row>
    <row r="41" spans="1:11" s="6" customFormat="1" ht="56" x14ac:dyDescent="0.2">
      <c r="A41" s="72" t="s">
        <v>656</v>
      </c>
      <c r="B41" s="9" t="s">
        <v>319</v>
      </c>
      <c r="C41" s="89" t="s">
        <v>245</v>
      </c>
      <c r="D41" s="89" t="s">
        <v>1266</v>
      </c>
      <c r="E41" s="4" t="s">
        <v>2</v>
      </c>
      <c r="F41" s="8" t="str">
        <f>IF('Self-Assessment_Cases'!I41="Implemented","5",IF('Self-Assessment_Cases'!I41="In Progress - Administrative","3",IF('Self-Assessment_Cases'!I41="In Progress - Configuration","3",IF('Self-Assessment_Cases'!I41="In Progress - Installation/Upgrade","3",IF('Self-Assessment_Cases'!I41="Not Implemented - Compensating Control","5",IF('Self-Assessment_Cases'!I41="Not Implemented - Risk Negligible","5",IF('Self-Assessment_Cases'!I41="Not Implemented - Risk Accepted","1",IF('Self-Assessment_Cases'!I41="Not Implemented - Planned","1",IF('Self-Assessment_Cases'!I41="Not Implemented - Unplanned","1",".")))))))))</f>
        <v>.</v>
      </c>
      <c r="G41" s="9" t="s">
        <v>584</v>
      </c>
      <c r="H41" s="14"/>
      <c r="I41" s="92"/>
      <c r="J41" s="14"/>
      <c r="K41" s="9"/>
    </row>
    <row r="42" spans="1:11" s="6" customFormat="1" ht="70" x14ac:dyDescent="0.2">
      <c r="A42" s="4" t="s">
        <v>20</v>
      </c>
      <c r="B42" s="9" t="s">
        <v>327</v>
      </c>
      <c r="C42" s="89" t="s">
        <v>247</v>
      </c>
      <c r="D42" s="89" t="s">
        <v>1106</v>
      </c>
      <c r="E42" s="4" t="s">
        <v>19</v>
      </c>
      <c r="F42" s="8"/>
      <c r="G42" s="9" t="s">
        <v>1268</v>
      </c>
      <c r="H42" s="14"/>
      <c r="I42" s="92"/>
      <c r="J42" s="14"/>
      <c r="K42" s="9"/>
    </row>
    <row r="43" spans="1:11" s="6" customFormat="1" ht="84" x14ac:dyDescent="0.2">
      <c r="A43" s="4" t="s">
        <v>20</v>
      </c>
      <c r="B43" s="9" t="s">
        <v>327</v>
      </c>
      <c r="C43" s="89" t="s">
        <v>247</v>
      </c>
      <c r="D43" s="89" t="s">
        <v>770</v>
      </c>
      <c r="E43" s="4" t="s">
        <v>19</v>
      </c>
      <c r="F43" s="8"/>
      <c r="G43" s="9" t="s">
        <v>1267</v>
      </c>
      <c r="H43" s="14"/>
      <c r="I43" s="92"/>
      <c r="J43" s="14"/>
      <c r="K43" s="9"/>
    </row>
    <row r="44" spans="1:11" s="108" customFormat="1" ht="135.75" customHeight="1" x14ac:dyDescent="0.2">
      <c r="A44" s="10" t="s">
        <v>22</v>
      </c>
      <c r="B44" s="9"/>
      <c r="C44" s="112" t="s">
        <v>246</v>
      </c>
      <c r="D44" s="112" t="s">
        <v>1107</v>
      </c>
      <c r="E44" s="10" t="s">
        <v>21</v>
      </c>
      <c r="F44" s="107" t="str">
        <f>IF('Self-Assessment_Cases'!I44="Implemented","5",IF('Self-Assessment_Cases'!I44="In Progress - Administrative","3",IF('Self-Assessment_Cases'!I44="In Progress - Configuration","3",IF('Self-Assessment_Cases'!I44="In Progress - Installation/Upgrade","3",IF('Self-Assessment_Cases'!I44="Not Implemented - Compensating Control","5",IF('Self-Assessment_Cases'!I44="Not Implemented - Risk Negligible","5",IF('Self-Assessment_Cases'!I44="Not Implemented - Risk Accepted","1",IF('Self-Assessment_Cases'!I44="Not Implemented - Planned","1",IF('Self-Assessment_Cases'!I44="Not Implemented - Unplanned","1",".")))))))))</f>
        <v>.</v>
      </c>
      <c r="G44" s="9" t="s">
        <v>517</v>
      </c>
      <c r="H44" s="10" t="s">
        <v>1238</v>
      </c>
      <c r="I44" s="92"/>
      <c r="J44" s="106"/>
      <c r="K44" s="9"/>
    </row>
    <row r="45" spans="1:11" s="108" customFormat="1" ht="84" customHeight="1" x14ac:dyDescent="0.2">
      <c r="A45" s="10" t="s">
        <v>22</v>
      </c>
      <c r="B45" s="9"/>
      <c r="C45" s="112" t="s">
        <v>246</v>
      </c>
      <c r="D45" s="112" t="s">
        <v>771</v>
      </c>
      <c r="E45" s="10" t="s">
        <v>21</v>
      </c>
      <c r="F45" s="107" t="str">
        <f>IF('Self-Assessment_Cases'!I45="Implemented","5",IF('Self-Assessment_Cases'!I45="In Progress - Administrative","3",IF('Self-Assessment_Cases'!I45="In Progress - Configuration","3",IF('Self-Assessment_Cases'!I45="In Progress - Installation/Upgrade","3",IF('Self-Assessment_Cases'!I45="Not Implemented - Compensating Control","5",IF('Self-Assessment_Cases'!I45="Not Implemented - Risk Negligible","5",IF('Self-Assessment_Cases'!I45="Not Implemented - Risk Accepted","1",IF('Self-Assessment_Cases'!I45="Not Implemented - Planned","1",IF('Self-Assessment_Cases'!I45="Not Implemented - Unplanned","1",".")))))))))</f>
        <v>.</v>
      </c>
      <c r="G45" s="9" t="s">
        <v>516</v>
      </c>
      <c r="H45" s="10" t="s">
        <v>1239</v>
      </c>
      <c r="I45" s="92"/>
      <c r="J45" s="109"/>
      <c r="K45" s="9"/>
    </row>
    <row r="46" spans="1:11" s="83" customFormat="1" ht="42" x14ac:dyDescent="0.2">
      <c r="A46" s="72" t="s">
        <v>4</v>
      </c>
      <c r="B46" s="9"/>
      <c r="C46" s="89" t="s">
        <v>245</v>
      </c>
      <c r="D46" s="89" t="s">
        <v>1108</v>
      </c>
      <c r="E46" s="4" t="s">
        <v>3</v>
      </c>
      <c r="F46" s="8" t="str">
        <f>IF('Self-Assessment_Cases'!I46="Implemented","5",IF('Self-Assessment_Cases'!I46="In Progress - Administrative","3",IF('Self-Assessment_Cases'!I46="In Progress - Configuration","3",IF('Self-Assessment_Cases'!I46="In Progress - Installation/Upgrade","3",IF('Self-Assessment_Cases'!I46="Not Implemented - Compensating Control","5",IF('Self-Assessment_Cases'!I46="Not Implemented - Risk Negligible","5",IF('Self-Assessment_Cases'!I46="Not Implemented - Risk Accepted","1",IF('Self-Assessment_Cases'!I46="Not Implemented - Planned","1",IF('Self-Assessment_Cases'!I46="Not Implemented - Unplanned","1",".")))))))))</f>
        <v>.</v>
      </c>
      <c r="G46" s="75" t="s">
        <v>1269</v>
      </c>
      <c r="H46" s="14"/>
      <c r="I46" s="92"/>
      <c r="J46" s="11"/>
      <c r="K46" s="75"/>
    </row>
    <row r="47" spans="1:11" s="5" customFormat="1" ht="56" x14ac:dyDescent="0.2">
      <c r="A47" s="4" t="s">
        <v>6</v>
      </c>
      <c r="B47" s="9"/>
      <c r="C47" s="89" t="s">
        <v>246</v>
      </c>
      <c r="D47" s="89" t="s">
        <v>1109</v>
      </c>
      <c r="E47" s="4" t="s">
        <v>5</v>
      </c>
      <c r="F47" s="8" t="str">
        <f>IF('Self-Assessment_Cases'!I47="Implemented","5",IF('Self-Assessment_Cases'!I47="In Progress - Administrative","3",IF('Self-Assessment_Cases'!I47="In Progress - Configuration","3",IF('Self-Assessment_Cases'!I47="In Progress - Installation/Upgrade","3",IF('Self-Assessment_Cases'!I47="Not Implemented - Compensating Control","5",IF('Self-Assessment_Cases'!I47="Not Implemented - Risk Negligible","5",IF('Self-Assessment_Cases'!I47="Not Implemented - Risk Accepted","1",IF('Self-Assessment_Cases'!I47="Not Implemented - Planned","1",IF('Self-Assessment_Cases'!I47="Not Implemented - Unplanned","1",".")))))))))</f>
        <v>.</v>
      </c>
      <c r="G47" s="13" t="s">
        <v>1270</v>
      </c>
      <c r="H47" s="14"/>
      <c r="I47" s="92"/>
      <c r="J47" s="93"/>
      <c r="K47" s="85"/>
    </row>
    <row r="48" spans="1:11" s="5" customFormat="1" ht="42" x14ac:dyDescent="0.2">
      <c r="A48" s="4" t="s">
        <v>8</v>
      </c>
      <c r="B48" s="9" t="s">
        <v>360</v>
      </c>
      <c r="C48" s="89" t="s">
        <v>246</v>
      </c>
      <c r="D48" s="89" t="s">
        <v>1110</v>
      </c>
      <c r="E48" s="4" t="s">
        <v>7</v>
      </c>
      <c r="F48" s="8" t="str">
        <f>IF('Self-Assessment_Cases'!I48="Implemented","5",IF('Self-Assessment_Cases'!I48="In Progress - Administrative","3",IF('Self-Assessment_Cases'!I48="In Progress - Configuration","3",IF('Self-Assessment_Cases'!I48="In Progress - Installation/Upgrade","3",IF('Self-Assessment_Cases'!I48="Not Implemented - Compensating Control","5",IF('Self-Assessment_Cases'!I48="Not Implemented - Risk Negligible","5",IF('Self-Assessment_Cases'!I48="Not Implemented - Risk Accepted","1",IF('Self-Assessment_Cases'!I48="Not Implemented - Planned","1",IF('Self-Assessment_Cases'!I48="Not Implemented - Unplanned","1",".")))))))))</f>
        <v>.</v>
      </c>
      <c r="G48" s="23" t="s">
        <v>347</v>
      </c>
      <c r="H48" s="14"/>
      <c r="I48" s="92"/>
      <c r="J48" s="93"/>
      <c r="K48" s="86"/>
    </row>
    <row r="49" spans="1:11" s="81" customFormat="1" ht="50" customHeight="1" x14ac:dyDescent="0.2">
      <c r="A49" s="72" t="s">
        <v>10</v>
      </c>
      <c r="B49" s="9" t="s">
        <v>336</v>
      </c>
      <c r="C49" s="89" t="s">
        <v>245</v>
      </c>
      <c r="D49" s="89" t="s">
        <v>1111</v>
      </c>
      <c r="E49" s="4" t="s">
        <v>9</v>
      </c>
      <c r="F49" s="8" t="str">
        <f>IF('Self-Assessment_Cases'!I49="Implemented","5",IF('Self-Assessment_Cases'!I49="In Progress - Administrative","3",IF('Self-Assessment_Cases'!I49="In Progress - Configuration","3",IF('Self-Assessment_Cases'!I49="In Progress - Installation/Upgrade","3",IF('Self-Assessment_Cases'!I49="Not Implemented - Compensating Control","5",IF('Self-Assessment_Cases'!I49="Not Implemented - Risk Negligible","5",IF('Self-Assessment_Cases'!I49="Not Implemented - Risk Accepted","1",IF('Self-Assessment_Cases'!I49="Not Implemented - Planned","1",IF('Self-Assessment_Cases'!I49="Not Implemented - Unplanned","1",".")))))))))</f>
        <v>.</v>
      </c>
      <c r="G49" s="80" t="s">
        <v>443</v>
      </c>
      <c r="H49" s="14" t="s">
        <v>444</v>
      </c>
      <c r="I49" s="92"/>
      <c r="J49" s="11"/>
      <c r="K49" s="75"/>
    </row>
    <row r="50" spans="1:11" s="81" customFormat="1" ht="140" x14ac:dyDescent="0.2">
      <c r="A50" s="72" t="s">
        <v>10</v>
      </c>
      <c r="B50" s="9" t="s">
        <v>336</v>
      </c>
      <c r="C50" s="89" t="s">
        <v>245</v>
      </c>
      <c r="D50" s="89" t="s">
        <v>772</v>
      </c>
      <c r="E50" s="4" t="s">
        <v>9</v>
      </c>
      <c r="F50" s="8" t="str">
        <f>IF('Self-Assessment_Cases'!I50="Implemented","5",IF('Self-Assessment_Cases'!I50="In Progress - Administrative","3",IF('Self-Assessment_Cases'!I50="In Progress - Configuration","3",IF('Self-Assessment_Cases'!I50="In Progress - Installation/Upgrade","3",IF('Self-Assessment_Cases'!I50="Not Implemented - Compensating Control","5",IF('Self-Assessment_Cases'!I50="Not Implemented - Risk Negligible","5",IF('Self-Assessment_Cases'!I50="Not Implemented - Risk Accepted","1",IF('Self-Assessment_Cases'!I50="Not Implemented - Planned","1",IF('Self-Assessment_Cases'!I50="Not Implemented - Unplanned","1",".")))))))))</f>
        <v>.</v>
      </c>
      <c r="G50" s="80" t="s">
        <v>707</v>
      </c>
      <c r="H50" s="14" t="s">
        <v>442</v>
      </c>
      <c r="I50" s="92"/>
      <c r="J50" s="11"/>
      <c r="K50" s="75"/>
    </row>
    <row r="51" spans="1:11" s="81" customFormat="1" ht="182" x14ac:dyDescent="0.2">
      <c r="A51" s="72" t="s">
        <v>10</v>
      </c>
      <c r="B51" s="9" t="s">
        <v>336</v>
      </c>
      <c r="C51" s="89" t="s">
        <v>245</v>
      </c>
      <c r="D51" s="89" t="s">
        <v>861</v>
      </c>
      <c r="E51" s="4" t="s">
        <v>9</v>
      </c>
      <c r="F51" s="8" t="str">
        <f>IF('Self-Assessment_Cases'!I51="Implemented","5",IF('Self-Assessment_Cases'!I51="In Progress - Administrative","3",IF('Self-Assessment_Cases'!I51="In Progress - Configuration","3",IF('Self-Assessment_Cases'!I51="In Progress - Installation/Upgrade","3",IF('Self-Assessment_Cases'!I51="Not Implemented - Compensating Control","5",IF('Self-Assessment_Cases'!I51="Not Implemented - Risk Negligible","5",IF('Self-Assessment_Cases'!I51="Not Implemented - Risk Accepted","1",IF('Self-Assessment_Cases'!I51="Not Implemented - Planned","1",IF('Self-Assessment_Cases'!I51="Not Implemented - Unplanned","1",".")))))))))</f>
        <v>.</v>
      </c>
      <c r="G51" s="80" t="s">
        <v>348</v>
      </c>
      <c r="H51" s="14" t="s">
        <v>441</v>
      </c>
      <c r="I51" s="92"/>
      <c r="J51" s="11"/>
      <c r="K51" s="75"/>
    </row>
    <row r="52" spans="1:11" s="81" customFormat="1" ht="78" customHeight="1" x14ac:dyDescent="0.2">
      <c r="A52" s="72" t="s">
        <v>10</v>
      </c>
      <c r="B52" s="9" t="s">
        <v>336</v>
      </c>
      <c r="C52" s="89" t="s">
        <v>245</v>
      </c>
      <c r="D52" s="89" t="s">
        <v>927</v>
      </c>
      <c r="E52" s="4" t="s">
        <v>9</v>
      </c>
      <c r="F52" s="8" t="str">
        <f>IF('Self-Assessment_Cases'!I52="Implemented","5",IF('Self-Assessment_Cases'!I52="In Progress - Administrative","3",IF('Self-Assessment_Cases'!I52="In Progress - Configuration","3",IF('Self-Assessment_Cases'!I52="In Progress - Installation/Upgrade","3",IF('Self-Assessment_Cases'!I52="Not Implemented - Compensating Control","5",IF('Self-Assessment_Cases'!I52="Not Implemented - Risk Negligible","5",IF('Self-Assessment_Cases'!I52="Not Implemented - Risk Accepted","1",IF('Self-Assessment_Cases'!I52="Not Implemented - Planned","1",IF('Self-Assessment_Cases'!I52="Not Implemented - Unplanned","1",".")))))))))</f>
        <v>.</v>
      </c>
      <c r="G52" s="80" t="s">
        <v>439</v>
      </c>
      <c r="H52" s="14" t="s">
        <v>440</v>
      </c>
      <c r="I52" s="92"/>
      <c r="J52" s="11"/>
      <c r="K52" s="75"/>
    </row>
    <row r="53" spans="1:11" s="81" customFormat="1" ht="140" x14ac:dyDescent="0.2">
      <c r="A53" s="72" t="s">
        <v>10</v>
      </c>
      <c r="B53" s="9" t="s">
        <v>336</v>
      </c>
      <c r="C53" s="89" t="s">
        <v>245</v>
      </c>
      <c r="D53" s="89" t="s">
        <v>978</v>
      </c>
      <c r="E53" s="4" t="s">
        <v>9</v>
      </c>
      <c r="F53" s="8" t="str">
        <f>IF('Self-Assessment_Cases'!I53="Implemented","5",IF('Self-Assessment_Cases'!I53="In Progress - Administrative","3",IF('Self-Assessment_Cases'!I53="In Progress - Configuration","3",IF('Self-Assessment_Cases'!I53="In Progress - Installation/Upgrade","3",IF('Self-Assessment_Cases'!I53="Not Implemented - Compensating Control","5",IF('Self-Assessment_Cases'!I53="Not Implemented - Risk Negligible","5",IF('Self-Assessment_Cases'!I53="Not Implemented - Risk Accepted","1",IF('Self-Assessment_Cases'!I53="Not Implemented - Planned","1",IF('Self-Assessment_Cases'!I53="Not Implemented - Unplanned","1",".")))))))))</f>
        <v>.</v>
      </c>
      <c r="G53" s="80" t="s">
        <v>437</v>
      </c>
      <c r="H53" s="14" t="s">
        <v>438</v>
      </c>
      <c r="I53" s="92"/>
      <c r="J53" s="11"/>
      <c r="K53" s="75"/>
    </row>
    <row r="54" spans="1:11" s="81" customFormat="1" ht="56" x14ac:dyDescent="0.2">
      <c r="A54" s="72" t="s">
        <v>12</v>
      </c>
      <c r="B54" s="9" t="s">
        <v>379</v>
      </c>
      <c r="C54" s="89" t="s">
        <v>245</v>
      </c>
      <c r="D54" s="89" t="s">
        <v>1112</v>
      </c>
      <c r="E54" s="4" t="s">
        <v>11</v>
      </c>
      <c r="F54" s="8" t="str">
        <f>IF('Self-Assessment_Cases'!I54="Implemented","5",IF('Self-Assessment_Cases'!I54="In Progress - Administrative","3",IF('Self-Assessment_Cases'!I54="In Progress - Configuration","3",IF('Self-Assessment_Cases'!I54="In Progress - Installation/Upgrade","3",IF('Self-Assessment_Cases'!I54="Not Implemented - Compensating Control","5",IF('Self-Assessment_Cases'!I54="Not Implemented - Risk Negligible","5",IF('Self-Assessment_Cases'!I54="Not Implemented - Risk Accepted","1",IF('Self-Assessment_Cases'!I54="Not Implemented - Planned","1",IF('Self-Assessment_Cases'!I54="Not Implemented - Unplanned","1",".")))))))))</f>
        <v>.</v>
      </c>
      <c r="G54" s="24" t="s">
        <v>691</v>
      </c>
      <c r="H54" s="14" t="s">
        <v>694</v>
      </c>
      <c r="I54" s="92"/>
      <c r="J54" s="11"/>
      <c r="K54" s="11"/>
    </row>
    <row r="55" spans="1:11" s="81" customFormat="1" ht="28" x14ac:dyDescent="0.2">
      <c r="A55" s="72" t="s">
        <v>24</v>
      </c>
      <c r="B55" s="9"/>
      <c r="C55" s="89" t="s">
        <v>245</v>
      </c>
      <c r="D55" s="89" t="s">
        <v>1113</v>
      </c>
      <c r="E55" s="4" t="s">
        <v>23</v>
      </c>
      <c r="F55" s="8" t="str">
        <f>IF('Self-Assessment_Cases'!I55="Implemented","5",IF('Self-Assessment_Cases'!I55="In Progress - Administrative","3",IF('Self-Assessment_Cases'!I55="In Progress - Configuration","3",IF('Self-Assessment_Cases'!I55="In Progress - Installation/Upgrade","3",IF('Self-Assessment_Cases'!I55="Not Implemented - Compensating Control","5",IF('Self-Assessment_Cases'!I55="Not Implemented - Risk Negligible","5",IF('Self-Assessment_Cases'!I55="Not Implemented - Risk Accepted","1",IF('Self-Assessment_Cases'!I55="Not Implemented - Planned","1",IF('Self-Assessment_Cases'!I55="Not Implemented - Unplanned","1",".")))))))))</f>
        <v>.</v>
      </c>
      <c r="G55" s="80" t="s">
        <v>1274</v>
      </c>
      <c r="H55" s="14"/>
      <c r="I55" s="92"/>
      <c r="J55" s="11"/>
      <c r="K55" s="75"/>
    </row>
    <row r="56" spans="1:11" s="81" customFormat="1" ht="28" x14ac:dyDescent="0.2">
      <c r="A56" s="72" t="s">
        <v>24</v>
      </c>
      <c r="B56" s="9"/>
      <c r="C56" s="89" t="s">
        <v>245</v>
      </c>
      <c r="D56" s="89" t="s">
        <v>773</v>
      </c>
      <c r="E56" s="4" t="s">
        <v>23</v>
      </c>
      <c r="F56" s="8" t="str">
        <f>IF('Self-Assessment_Cases'!I56="Implemented","5",IF('Self-Assessment_Cases'!I56="In Progress - Administrative","3",IF('Self-Assessment_Cases'!I56="In Progress - Configuration","3",IF('Self-Assessment_Cases'!I56="In Progress - Installation/Upgrade","3",IF('Self-Assessment_Cases'!I56="Not Implemented - Compensating Control","5",IF('Self-Assessment_Cases'!I56="Not Implemented - Risk Negligible","5",IF('Self-Assessment_Cases'!I56="Not Implemented - Risk Accepted","1",IF('Self-Assessment_Cases'!I56="Not Implemented - Planned","1",IF('Self-Assessment_Cases'!I56="Not Implemented - Unplanned","1",".")))))))))</f>
        <v>.</v>
      </c>
      <c r="G56" s="80" t="s">
        <v>1275</v>
      </c>
      <c r="H56" s="14"/>
      <c r="I56" s="92"/>
      <c r="J56" s="11"/>
      <c r="K56" s="75"/>
    </row>
    <row r="57" spans="1:11" s="83" customFormat="1" ht="28" x14ac:dyDescent="0.2">
      <c r="A57" s="72" t="s">
        <v>24</v>
      </c>
      <c r="B57" s="9"/>
      <c r="C57" s="89" t="s">
        <v>245</v>
      </c>
      <c r="D57" s="89" t="s">
        <v>862</v>
      </c>
      <c r="E57" s="4" t="s">
        <v>23</v>
      </c>
      <c r="F57" s="8" t="str">
        <f>IF('Self-Assessment_Cases'!I57="Implemented","5",IF('Self-Assessment_Cases'!I57="In Progress - Administrative","3",IF('Self-Assessment_Cases'!I57="In Progress - Configuration","3",IF('Self-Assessment_Cases'!I57="In Progress - Installation/Upgrade","3",IF('Self-Assessment_Cases'!I57="Not Implemented - Compensating Control","5",IF('Self-Assessment_Cases'!I57="Not Implemented - Risk Negligible","5",IF('Self-Assessment_Cases'!I57="Not Implemented - Risk Accepted","1",IF('Self-Assessment_Cases'!I57="Not Implemented - Planned","1",IF('Self-Assessment_Cases'!I57="Not Implemented - Unplanned","1",".")))))))))</f>
        <v>.</v>
      </c>
      <c r="G57" s="80" t="s">
        <v>1276</v>
      </c>
      <c r="H57" s="14"/>
      <c r="I57" s="92"/>
      <c r="J57" s="11"/>
      <c r="K57" s="75"/>
    </row>
    <row r="58" spans="1:11" s="83" customFormat="1" ht="28" x14ac:dyDescent="0.2">
      <c r="A58" s="72" t="s">
        <v>24</v>
      </c>
      <c r="B58" s="9"/>
      <c r="C58" s="89" t="s">
        <v>245</v>
      </c>
      <c r="D58" s="89" t="s">
        <v>928</v>
      </c>
      <c r="E58" s="4" t="s">
        <v>23</v>
      </c>
      <c r="F58" s="8" t="str">
        <f>IF('Self-Assessment_Cases'!I58="Implemented","5",IF('Self-Assessment_Cases'!I58="In Progress - Administrative","3",IF('Self-Assessment_Cases'!I58="In Progress - Configuration","3",IF('Self-Assessment_Cases'!I58="In Progress - Installation/Upgrade","3",IF('Self-Assessment_Cases'!I58="Not Implemented - Compensating Control","5",IF('Self-Assessment_Cases'!I58="Not Implemented - Risk Negligible","5",IF('Self-Assessment_Cases'!I58="Not Implemented - Risk Accepted","1",IF('Self-Assessment_Cases'!I58="Not Implemented - Planned","1",IF('Self-Assessment_Cases'!I58="Not Implemented - Unplanned","1",".")))))))))</f>
        <v>.</v>
      </c>
      <c r="G58" s="75" t="s">
        <v>1277</v>
      </c>
      <c r="H58" s="14"/>
      <c r="I58" s="92"/>
      <c r="J58" s="11"/>
      <c r="K58" s="75"/>
    </row>
    <row r="59" spans="1:11" s="83" customFormat="1" ht="28" x14ac:dyDescent="0.2">
      <c r="A59" s="72" t="s">
        <v>24</v>
      </c>
      <c r="B59" s="9"/>
      <c r="C59" s="89" t="s">
        <v>245</v>
      </c>
      <c r="D59" s="89" t="s">
        <v>979</v>
      </c>
      <c r="E59" s="4" t="s">
        <v>23</v>
      </c>
      <c r="F59" s="8" t="str">
        <f>IF('Self-Assessment_Cases'!I59="Implemented","5",IF('Self-Assessment_Cases'!I59="In Progress - Administrative","3",IF('Self-Assessment_Cases'!I59="In Progress - Configuration","3",IF('Self-Assessment_Cases'!I59="In Progress - Installation/Upgrade","3",IF('Self-Assessment_Cases'!I59="Not Implemented - Compensating Control","5",IF('Self-Assessment_Cases'!I59="Not Implemented - Risk Negligible","5",IF('Self-Assessment_Cases'!I59="Not Implemented - Risk Accepted","1",IF('Self-Assessment_Cases'!I59="Not Implemented - Planned","1",IF('Self-Assessment_Cases'!I59="Not Implemented - Unplanned","1",".")))))))))</f>
        <v>.</v>
      </c>
      <c r="G59" s="75" t="s">
        <v>1278</v>
      </c>
      <c r="H59" s="14"/>
      <c r="I59" s="92"/>
      <c r="J59" s="11"/>
      <c r="K59" s="75"/>
    </row>
    <row r="60" spans="1:11" s="83" customFormat="1" ht="28" x14ac:dyDescent="0.2">
      <c r="A60" s="72" t="s">
        <v>24</v>
      </c>
      <c r="B60" s="9"/>
      <c r="C60" s="89" t="s">
        <v>245</v>
      </c>
      <c r="D60" s="89" t="s">
        <v>1014</v>
      </c>
      <c r="E60" s="4" t="s">
        <v>23</v>
      </c>
      <c r="F60" s="8" t="str">
        <f>IF('Self-Assessment_Cases'!I60="Implemented","5",IF('Self-Assessment_Cases'!I60="In Progress - Administrative","3",IF('Self-Assessment_Cases'!I60="In Progress - Configuration","3",IF('Self-Assessment_Cases'!I60="In Progress - Installation/Upgrade","3",IF('Self-Assessment_Cases'!I60="Not Implemented - Compensating Control","5",IF('Self-Assessment_Cases'!I60="Not Implemented - Risk Negligible","5",IF('Self-Assessment_Cases'!I60="Not Implemented - Risk Accepted","1",IF('Self-Assessment_Cases'!I60="Not Implemented - Planned","1",IF('Self-Assessment_Cases'!I60="Not Implemented - Unplanned","1",".")))))))))</f>
        <v>.</v>
      </c>
      <c r="G60" s="75" t="s">
        <v>1279</v>
      </c>
      <c r="H60" s="14"/>
      <c r="I60" s="92"/>
      <c r="J60" s="11"/>
      <c r="K60" s="75"/>
    </row>
    <row r="61" spans="1:11" s="83" customFormat="1" ht="42" x14ac:dyDescent="0.2">
      <c r="A61" s="72" t="s">
        <v>24</v>
      </c>
      <c r="B61" s="9"/>
      <c r="C61" s="89" t="s">
        <v>245</v>
      </c>
      <c r="D61" s="89" t="s">
        <v>1040</v>
      </c>
      <c r="E61" s="4" t="s">
        <v>23</v>
      </c>
      <c r="F61" s="8" t="str">
        <f>IF('Self-Assessment_Cases'!I61="Implemented","5",IF('Self-Assessment_Cases'!I61="In Progress - Administrative","3",IF('Self-Assessment_Cases'!I61="In Progress - Configuration","3",IF('Self-Assessment_Cases'!I61="In Progress - Installation/Upgrade","3",IF('Self-Assessment_Cases'!I61="Not Implemented - Compensating Control","5",IF('Self-Assessment_Cases'!I61="Not Implemented - Risk Negligible","5",IF('Self-Assessment_Cases'!I61="Not Implemented - Risk Accepted","1",IF('Self-Assessment_Cases'!I61="Not Implemented - Planned","1",IF('Self-Assessment_Cases'!I61="Not Implemented - Unplanned","1",".")))))))))</f>
        <v>.</v>
      </c>
      <c r="G61" s="75" t="s">
        <v>1280</v>
      </c>
      <c r="H61" s="14"/>
      <c r="I61" s="92"/>
      <c r="J61" s="11"/>
      <c r="K61" s="75"/>
    </row>
    <row r="62" spans="1:11" s="83" customFormat="1" ht="56" x14ac:dyDescent="0.2">
      <c r="A62" s="72" t="s">
        <v>24</v>
      </c>
      <c r="B62" s="9"/>
      <c r="C62" s="89" t="s">
        <v>245</v>
      </c>
      <c r="D62" s="89" t="s">
        <v>1271</v>
      </c>
      <c r="E62" s="4" t="s">
        <v>23</v>
      </c>
      <c r="F62" s="8" t="str">
        <f>IF('Self-Assessment_Cases'!I62="Implemented","5",IF('Self-Assessment_Cases'!I62="In Progress - Administrative","3",IF('Self-Assessment_Cases'!I62="In Progress - Configuration","3",IF('Self-Assessment_Cases'!I62="In Progress - Installation/Upgrade","3",IF('Self-Assessment_Cases'!I62="Not Implemented - Compensating Control","5",IF('Self-Assessment_Cases'!I62="Not Implemented - Risk Negligible","5",IF('Self-Assessment_Cases'!I62="Not Implemented - Risk Accepted","1",IF('Self-Assessment_Cases'!I62="Not Implemented - Planned","1",IF('Self-Assessment_Cases'!I62="Not Implemented - Unplanned","1",".")))))))))</f>
        <v>.</v>
      </c>
      <c r="G62" s="75" t="s">
        <v>1281</v>
      </c>
      <c r="H62" s="14"/>
      <c r="I62" s="92"/>
      <c r="J62" s="11"/>
      <c r="K62" s="75"/>
    </row>
    <row r="63" spans="1:11" s="83" customFormat="1" ht="42" x14ac:dyDescent="0.2">
      <c r="A63" s="72" t="s">
        <v>24</v>
      </c>
      <c r="B63" s="9"/>
      <c r="C63" s="89" t="s">
        <v>245</v>
      </c>
      <c r="D63" s="89" t="s">
        <v>1272</v>
      </c>
      <c r="E63" s="4" t="s">
        <v>23</v>
      </c>
      <c r="F63" s="8" t="str">
        <f>IF('Self-Assessment_Cases'!I63="Implemented","5",IF('Self-Assessment_Cases'!I63="In Progress - Administrative","3",IF('Self-Assessment_Cases'!I63="In Progress - Configuration","3",IF('Self-Assessment_Cases'!I63="In Progress - Installation/Upgrade","3",IF('Self-Assessment_Cases'!I63="Not Implemented - Compensating Control","5",IF('Self-Assessment_Cases'!I63="Not Implemented - Risk Negligible","5",IF('Self-Assessment_Cases'!I63="Not Implemented - Risk Accepted","1",IF('Self-Assessment_Cases'!I63="Not Implemented - Planned","1",IF('Self-Assessment_Cases'!I63="Not Implemented - Unplanned","1",".")))))))))</f>
        <v>.</v>
      </c>
      <c r="G63" s="75" t="s">
        <v>389</v>
      </c>
      <c r="H63" s="14"/>
      <c r="I63" s="92"/>
      <c r="J63" s="11"/>
      <c r="K63" s="75"/>
    </row>
    <row r="64" spans="1:11" s="83" customFormat="1" ht="42" x14ac:dyDescent="0.2">
      <c r="A64" s="72" t="s">
        <v>24</v>
      </c>
      <c r="B64" s="9"/>
      <c r="C64" s="89" t="s">
        <v>245</v>
      </c>
      <c r="D64" s="89" t="s">
        <v>1273</v>
      </c>
      <c r="E64" s="4" t="s">
        <v>23</v>
      </c>
      <c r="F64" s="8" t="str">
        <f>IF('Self-Assessment_Cases'!I64="Implemented","5",IF('Self-Assessment_Cases'!I64="In Progress - Administrative","3",IF('Self-Assessment_Cases'!I64="In Progress - Configuration","3",IF('Self-Assessment_Cases'!I64="In Progress - Installation/Upgrade","3",IF('Self-Assessment_Cases'!I64="Not Implemented - Compensating Control","5",IF('Self-Assessment_Cases'!I64="Not Implemented - Risk Negligible","5",IF('Self-Assessment_Cases'!I64="Not Implemented - Risk Accepted","1",IF('Self-Assessment_Cases'!I64="Not Implemented - Planned","1",IF('Self-Assessment_Cases'!I64="Not Implemented - Unplanned","1",".")))))))))</f>
        <v>.</v>
      </c>
      <c r="G64" s="75" t="s">
        <v>390</v>
      </c>
      <c r="H64" s="14"/>
      <c r="I64" s="92"/>
      <c r="J64" s="11"/>
      <c r="K64" s="75"/>
    </row>
    <row r="65" spans="1:11" s="83" customFormat="1" ht="50" customHeight="1" x14ac:dyDescent="0.2">
      <c r="A65" s="72" t="s">
        <v>26</v>
      </c>
      <c r="B65" s="9" t="s">
        <v>337</v>
      </c>
      <c r="C65" s="89" t="s">
        <v>245</v>
      </c>
      <c r="D65" s="89" t="s">
        <v>1114</v>
      </c>
      <c r="E65" s="4" t="s">
        <v>25</v>
      </c>
      <c r="F65" s="8" t="str">
        <f>IF('Self-Assessment_Cases'!I65="Implemented","5",IF('Self-Assessment_Cases'!I65="In Progress - Administrative","3",IF('Self-Assessment_Cases'!I65="In Progress - Configuration","3",IF('Self-Assessment_Cases'!I65="In Progress - Installation/Upgrade","3",IF('Self-Assessment_Cases'!I65="Not Implemented - Compensating Control","5",IF('Self-Assessment_Cases'!I65="Not Implemented - Risk Negligible","5",IF('Self-Assessment_Cases'!I65="Not Implemented - Risk Accepted","1",IF('Self-Assessment_Cases'!I65="Not Implemented - Planned","1",IF('Self-Assessment_Cases'!I65="Not Implemented - Unplanned","1",".")))))))))</f>
        <v>.</v>
      </c>
      <c r="G65" s="75" t="s">
        <v>445</v>
      </c>
      <c r="H65" s="14" t="s">
        <v>446</v>
      </c>
      <c r="I65" s="92"/>
      <c r="J65" s="11"/>
      <c r="K65" s="75"/>
    </row>
    <row r="66" spans="1:11" s="83" customFormat="1" ht="50" customHeight="1" x14ac:dyDescent="0.2">
      <c r="A66" s="4" t="s">
        <v>1564</v>
      </c>
      <c r="B66" s="120"/>
      <c r="C66" s="89" t="s">
        <v>245</v>
      </c>
      <c r="D66" s="89" t="s">
        <v>1565</v>
      </c>
      <c r="E66" s="4" t="s">
        <v>1563</v>
      </c>
      <c r="F66" s="8" t="str">
        <f>IF('Self-Assessment_Cases'!I66="Implemented","5",IF('Self-Assessment_Cases'!I66="In Progress - Administrative","3",IF('Self-Assessment_Cases'!I66="In Progress - Configuration","3",IF('Self-Assessment_Cases'!I66="In Progress - Installation/Upgrade","3",IF('Self-Assessment_Cases'!I66="Not Implemented - Compensating Control","5",IF('Self-Assessment_Cases'!I66="Not Implemented - Risk Negligible","5",IF('Self-Assessment_Cases'!I66="Not Implemented - Risk Accepted","1",IF('Self-Assessment_Cases'!I66="Not Implemented - Planned","1",IF('Self-Assessment_Cases'!I66="Not Implemented - Unplanned","1",".")))))))))</f>
        <v>.</v>
      </c>
      <c r="G66" s="120" t="s">
        <v>1566</v>
      </c>
      <c r="H66" s="14"/>
      <c r="I66" s="92"/>
      <c r="J66" s="121"/>
      <c r="K66" s="121"/>
    </row>
    <row r="67" spans="1:11" s="83" customFormat="1" ht="50" customHeight="1" x14ac:dyDescent="0.2">
      <c r="A67" s="4" t="s">
        <v>1564</v>
      </c>
      <c r="B67" s="120"/>
      <c r="C67" s="89" t="s">
        <v>245</v>
      </c>
      <c r="D67" s="89" t="s">
        <v>1567</v>
      </c>
      <c r="E67" s="4" t="s">
        <v>1563</v>
      </c>
      <c r="F67" s="8" t="str">
        <f>IF('Self-Assessment_Cases'!I67="Implemented","5",IF('Self-Assessment_Cases'!I67="In Progress - Administrative","3",IF('Self-Assessment_Cases'!I67="In Progress - Configuration","3",IF('Self-Assessment_Cases'!I67="In Progress - Installation/Upgrade","3",IF('Self-Assessment_Cases'!I67="Not Implemented - Compensating Control","5",IF('Self-Assessment_Cases'!I67="Not Implemented - Risk Negligible","5",IF('Self-Assessment_Cases'!I67="Not Implemented - Risk Accepted","1",IF('Self-Assessment_Cases'!I67="Not Implemented - Planned","1",IF('Self-Assessment_Cases'!I67="Not Implemented - Unplanned","1",".")))))))))</f>
        <v>.</v>
      </c>
      <c r="G67" s="120" t="s">
        <v>1568</v>
      </c>
      <c r="H67" s="14"/>
      <c r="I67" s="92"/>
      <c r="J67" s="121"/>
      <c r="K67" s="121"/>
    </row>
    <row r="68" spans="1:11" s="83" customFormat="1" ht="50" customHeight="1" x14ac:dyDescent="0.2">
      <c r="A68" s="4" t="s">
        <v>1564</v>
      </c>
      <c r="B68" s="120"/>
      <c r="C68" s="89" t="s">
        <v>245</v>
      </c>
      <c r="D68" s="89" t="s">
        <v>1569</v>
      </c>
      <c r="E68" s="4" t="s">
        <v>1563</v>
      </c>
      <c r="F68" s="8" t="str">
        <f>IF('Self-Assessment_Cases'!I68="Implemented","5",IF('Self-Assessment_Cases'!I68="In Progress - Administrative","3",IF('Self-Assessment_Cases'!I68="In Progress - Configuration","3",IF('Self-Assessment_Cases'!I68="In Progress - Installation/Upgrade","3",IF('Self-Assessment_Cases'!I68="Not Implemented - Compensating Control","5",IF('Self-Assessment_Cases'!I68="Not Implemented - Risk Negligible","5",IF('Self-Assessment_Cases'!I68="Not Implemented - Risk Accepted","1",IF('Self-Assessment_Cases'!I68="Not Implemented - Planned","1",IF('Self-Assessment_Cases'!I68="Not Implemented - Unplanned","1",".")))))))))</f>
        <v>.</v>
      </c>
      <c r="G68" s="120" t="s">
        <v>1570</v>
      </c>
      <c r="H68" s="14"/>
      <c r="I68" s="92"/>
      <c r="J68" s="121"/>
      <c r="K68" s="121"/>
    </row>
    <row r="69" spans="1:11" s="6" customFormat="1" ht="28" x14ac:dyDescent="0.2">
      <c r="A69" s="4" t="s">
        <v>28</v>
      </c>
      <c r="B69" s="9" t="s">
        <v>328</v>
      </c>
      <c r="C69" s="89" t="s">
        <v>246</v>
      </c>
      <c r="D69" s="89" t="s">
        <v>1115</v>
      </c>
      <c r="E69" s="4" t="s">
        <v>27</v>
      </c>
      <c r="F69" s="8" t="str">
        <f>IF('Self-Assessment_Cases'!I69="Implemented","5",IF('Self-Assessment_Cases'!I69="In Progress - Administrative","3",IF('Self-Assessment_Cases'!I69="In Progress - Configuration","3",IF('Self-Assessment_Cases'!I69="In Progress - Installation/Upgrade","3",IF('Self-Assessment_Cases'!I69="Not Implemented - Compensating Control","5",IF('Self-Assessment_Cases'!I69="Not Implemented - Risk Negligible","5",IF('Self-Assessment_Cases'!I69="Not Implemented - Risk Accepted","1",IF('Self-Assessment_Cases'!I69="Not Implemented - Planned","1",IF('Self-Assessment_Cases'!I69="Not Implemented - Unplanned","1",".")))))))))</f>
        <v>.</v>
      </c>
      <c r="G69" s="9" t="s">
        <v>1283</v>
      </c>
      <c r="H69" s="14"/>
      <c r="I69" s="92"/>
      <c r="J69" s="93"/>
      <c r="K69" s="85"/>
    </row>
    <row r="70" spans="1:11" s="6" customFormat="1" ht="28" x14ac:dyDescent="0.2">
      <c r="A70" s="4" t="s">
        <v>28</v>
      </c>
      <c r="B70" s="9" t="s">
        <v>328</v>
      </c>
      <c r="C70" s="89" t="s">
        <v>246</v>
      </c>
      <c r="D70" s="89" t="s">
        <v>774</v>
      </c>
      <c r="E70" s="4" t="s">
        <v>27</v>
      </c>
      <c r="F70" s="8" t="str">
        <f>IF('Self-Assessment_Cases'!I70="Implemented","5",IF('Self-Assessment_Cases'!I70="In Progress - Administrative","3",IF('Self-Assessment_Cases'!I70="In Progress - Configuration","3",IF('Self-Assessment_Cases'!I70="In Progress - Installation/Upgrade","3",IF('Self-Assessment_Cases'!I70="Not Implemented - Compensating Control","5",IF('Self-Assessment_Cases'!I70="Not Implemented - Risk Negligible","5",IF('Self-Assessment_Cases'!I70="Not Implemented - Risk Accepted","1",IF('Self-Assessment_Cases'!I70="Not Implemented - Planned","1",IF('Self-Assessment_Cases'!I70="Not Implemented - Unplanned","1",".")))))))))</f>
        <v>.</v>
      </c>
      <c r="G70" s="9" t="s">
        <v>1284</v>
      </c>
      <c r="H70" s="14"/>
      <c r="I70" s="92"/>
      <c r="J70" s="93"/>
      <c r="K70" s="85"/>
    </row>
    <row r="71" spans="1:11" s="6" customFormat="1" ht="28" x14ac:dyDescent="0.2">
      <c r="A71" s="4" t="s">
        <v>28</v>
      </c>
      <c r="B71" s="9" t="s">
        <v>328</v>
      </c>
      <c r="C71" s="89" t="s">
        <v>246</v>
      </c>
      <c r="D71" s="89" t="s">
        <v>863</v>
      </c>
      <c r="E71" s="4" t="s">
        <v>27</v>
      </c>
      <c r="F71" s="8" t="str">
        <f>IF('Self-Assessment_Cases'!I71="Implemented","5",IF('Self-Assessment_Cases'!I71="In Progress - Administrative","3",IF('Self-Assessment_Cases'!I71="In Progress - Configuration","3",IF('Self-Assessment_Cases'!I71="In Progress - Installation/Upgrade","3",IF('Self-Assessment_Cases'!I71="Not Implemented - Compensating Control","5",IF('Self-Assessment_Cases'!I71="Not Implemented - Risk Negligible","5",IF('Self-Assessment_Cases'!I71="Not Implemented - Risk Accepted","1",IF('Self-Assessment_Cases'!I71="Not Implemented - Planned","1",IF('Self-Assessment_Cases'!I71="Not Implemented - Unplanned","1",".")))))))))</f>
        <v>.</v>
      </c>
      <c r="G71" s="9" t="s">
        <v>1285</v>
      </c>
      <c r="H71" s="14"/>
      <c r="I71" s="92"/>
      <c r="J71" s="93"/>
      <c r="K71" s="85"/>
    </row>
    <row r="72" spans="1:11" s="6" customFormat="1" ht="28" x14ac:dyDescent="0.2">
      <c r="A72" s="4" t="s">
        <v>28</v>
      </c>
      <c r="B72" s="9" t="s">
        <v>328</v>
      </c>
      <c r="C72" s="89" t="s">
        <v>246</v>
      </c>
      <c r="D72" s="89" t="s">
        <v>929</v>
      </c>
      <c r="E72" s="4" t="s">
        <v>27</v>
      </c>
      <c r="F72" s="8" t="str">
        <f>IF('Self-Assessment_Cases'!I72="Implemented","5",IF('Self-Assessment_Cases'!I72="In Progress - Administrative","3",IF('Self-Assessment_Cases'!I72="In Progress - Configuration","3",IF('Self-Assessment_Cases'!I72="In Progress - Installation/Upgrade","3",IF('Self-Assessment_Cases'!I72="Not Implemented - Compensating Control","5",IF('Self-Assessment_Cases'!I72="Not Implemented - Risk Negligible","5",IF('Self-Assessment_Cases'!I72="Not Implemented - Risk Accepted","1",IF('Self-Assessment_Cases'!I72="Not Implemented - Planned","1",IF('Self-Assessment_Cases'!I72="Not Implemented - Unplanned","1",".")))))))))</f>
        <v>.</v>
      </c>
      <c r="G72" s="9" t="s">
        <v>1286</v>
      </c>
      <c r="H72" s="14"/>
      <c r="I72" s="92"/>
      <c r="J72" s="93"/>
      <c r="K72" s="85"/>
    </row>
    <row r="73" spans="1:11" s="6" customFormat="1" ht="28" x14ac:dyDescent="0.2">
      <c r="A73" s="4" t="s">
        <v>28</v>
      </c>
      <c r="B73" s="9" t="s">
        <v>328</v>
      </c>
      <c r="C73" s="89" t="s">
        <v>246</v>
      </c>
      <c r="D73" s="89" t="s">
        <v>980</v>
      </c>
      <c r="E73" s="4" t="s">
        <v>27</v>
      </c>
      <c r="F73" s="8" t="str">
        <f>IF('Self-Assessment_Cases'!I73="Implemented","5",IF('Self-Assessment_Cases'!I73="In Progress - Administrative","3",IF('Self-Assessment_Cases'!I73="In Progress - Configuration","3",IF('Self-Assessment_Cases'!I73="In Progress - Installation/Upgrade","3",IF('Self-Assessment_Cases'!I73="Not Implemented - Compensating Control","5",IF('Self-Assessment_Cases'!I73="Not Implemented - Risk Negligible","5",IF('Self-Assessment_Cases'!I73="Not Implemented - Risk Accepted","1",IF('Self-Assessment_Cases'!I73="Not Implemented - Planned","1",IF('Self-Assessment_Cases'!I73="Not Implemented - Unplanned","1",".")))))))))</f>
        <v>.</v>
      </c>
      <c r="G73" s="13" t="s">
        <v>1287</v>
      </c>
      <c r="H73" s="14"/>
      <c r="I73" s="92"/>
      <c r="J73" s="93"/>
      <c r="K73" s="85"/>
    </row>
    <row r="74" spans="1:11" s="6" customFormat="1" ht="28" x14ac:dyDescent="0.2">
      <c r="A74" s="4" t="s">
        <v>28</v>
      </c>
      <c r="B74" s="9" t="s">
        <v>328</v>
      </c>
      <c r="C74" s="89" t="s">
        <v>246</v>
      </c>
      <c r="D74" s="89" t="s">
        <v>1015</v>
      </c>
      <c r="E74" s="4" t="s">
        <v>27</v>
      </c>
      <c r="F74" s="8" t="str">
        <f>IF('Self-Assessment_Cases'!I74="Implemented","5",IF('Self-Assessment_Cases'!I74="In Progress - Administrative","3",IF('Self-Assessment_Cases'!I74="In Progress - Configuration","3",IF('Self-Assessment_Cases'!I74="In Progress - Installation/Upgrade","3",IF('Self-Assessment_Cases'!I74="Not Implemented - Compensating Control","5",IF('Self-Assessment_Cases'!I74="Not Implemented - Risk Negligible","5",IF('Self-Assessment_Cases'!I74="Not Implemented - Risk Accepted","1",IF('Self-Assessment_Cases'!I74="Not Implemented - Planned","1",IF('Self-Assessment_Cases'!I74="Not Implemented - Unplanned","1",".")))))))))</f>
        <v>.</v>
      </c>
      <c r="G74" s="9" t="s">
        <v>1288</v>
      </c>
      <c r="H74" s="14"/>
      <c r="I74" s="92"/>
      <c r="J74" s="93"/>
      <c r="K74" s="85"/>
    </row>
    <row r="75" spans="1:11" s="6" customFormat="1" ht="42" x14ac:dyDescent="0.2">
      <c r="A75" s="4" t="s">
        <v>28</v>
      </c>
      <c r="B75" s="9" t="s">
        <v>328</v>
      </c>
      <c r="C75" s="89" t="s">
        <v>246</v>
      </c>
      <c r="D75" s="89" t="s">
        <v>1041</v>
      </c>
      <c r="E75" s="4" t="s">
        <v>27</v>
      </c>
      <c r="F75" s="8" t="str">
        <f>IF('Self-Assessment_Cases'!I75="Implemented","5",IF('Self-Assessment_Cases'!I75="In Progress - Administrative","3",IF('Self-Assessment_Cases'!I75="In Progress - Configuration","3",IF('Self-Assessment_Cases'!I75="In Progress - Installation/Upgrade","3",IF('Self-Assessment_Cases'!I75="Not Implemented - Compensating Control","5",IF('Self-Assessment_Cases'!I75="Not Implemented - Risk Negligible","5",IF('Self-Assessment_Cases'!I75="Not Implemented - Risk Accepted","1",IF('Self-Assessment_Cases'!I75="Not Implemented - Planned","1",IF('Self-Assessment_Cases'!I75="Not Implemented - Unplanned","1",".")))))))))</f>
        <v>.</v>
      </c>
      <c r="G75" s="9" t="s">
        <v>1289</v>
      </c>
      <c r="H75" s="14"/>
      <c r="I75" s="92"/>
      <c r="J75" s="93"/>
      <c r="K75" s="85"/>
    </row>
    <row r="76" spans="1:11" s="6" customFormat="1" ht="42" x14ac:dyDescent="0.2">
      <c r="A76" s="4" t="s">
        <v>28</v>
      </c>
      <c r="B76" s="9" t="s">
        <v>328</v>
      </c>
      <c r="C76" s="89" t="s">
        <v>246</v>
      </c>
      <c r="D76" s="89" t="s">
        <v>1063</v>
      </c>
      <c r="E76" s="4" t="s">
        <v>27</v>
      </c>
      <c r="F76" s="8" t="str">
        <f>IF('Self-Assessment_Cases'!I76="Implemented","5",IF('Self-Assessment_Cases'!I76="In Progress - Administrative","3",IF('Self-Assessment_Cases'!I76="In Progress - Configuration","3",IF('Self-Assessment_Cases'!I76="In Progress - Installation/Upgrade","3",IF('Self-Assessment_Cases'!I76="Not Implemented - Compensating Control","5",IF('Self-Assessment_Cases'!I76="Not Implemented - Risk Negligible","5",IF('Self-Assessment_Cases'!I76="Not Implemented - Risk Accepted","1",IF('Self-Assessment_Cases'!I76="Not Implemented - Planned","1",IF('Self-Assessment_Cases'!I76="Not Implemented - Unplanned","1",".")))))))))</f>
        <v>.</v>
      </c>
      <c r="G76" s="9" t="s">
        <v>1290</v>
      </c>
      <c r="H76" s="14"/>
      <c r="I76" s="92"/>
      <c r="J76" s="93"/>
      <c r="K76" s="85"/>
    </row>
    <row r="77" spans="1:11" s="6" customFormat="1" ht="42" x14ac:dyDescent="0.2">
      <c r="A77" s="4" t="s">
        <v>28</v>
      </c>
      <c r="B77" s="9" t="s">
        <v>328</v>
      </c>
      <c r="C77" s="89" t="s">
        <v>246</v>
      </c>
      <c r="D77" s="89" t="s">
        <v>1083</v>
      </c>
      <c r="E77" s="4" t="s">
        <v>27</v>
      </c>
      <c r="F77" s="8" t="str">
        <f>IF('Self-Assessment_Cases'!I77="Implemented","5",IF('Self-Assessment_Cases'!I77="In Progress - Administrative","3",IF('Self-Assessment_Cases'!I77="In Progress - Configuration","3",IF('Self-Assessment_Cases'!I77="In Progress - Installation/Upgrade","3",IF('Self-Assessment_Cases'!I77="Not Implemented - Compensating Control","5",IF('Self-Assessment_Cases'!I77="Not Implemented - Risk Negligible","5",IF('Self-Assessment_Cases'!I77="Not Implemented - Risk Accepted","1",IF('Self-Assessment_Cases'!I77="Not Implemented - Planned","1",IF('Self-Assessment_Cases'!I77="Not Implemented - Unplanned","1",".")))))))))</f>
        <v>.</v>
      </c>
      <c r="G77" s="9" t="s">
        <v>389</v>
      </c>
      <c r="H77" s="14"/>
      <c r="I77" s="92"/>
      <c r="J77" s="93"/>
      <c r="K77" s="85"/>
    </row>
    <row r="78" spans="1:11" s="6" customFormat="1" ht="42" x14ac:dyDescent="0.2">
      <c r="A78" s="4" t="s">
        <v>28</v>
      </c>
      <c r="B78" s="9" t="s">
        <v>328</v>
      </c>
      <c r="C78" s="89" t="s">
        <v>246</v>
      </c>
      <c r="D78" s="89" t="s">
        <v>1282</v>
      </c>
      <c r="E78" s="4" t="s">
        <v>27</v>
      </c>
      <c r="F78" s="8" t="str">
        <f>IF('Self-Assessment_Cases'!I78="Implemented","5",IF('Self-Assessment_Cases'!I78="In Progress - Administrative","3",IF('Self-Assessment_Cases'!I78="In Progress - Configuration","3",IF('Self-Assessment_Cases'!I78="In Progress - Installation/Upgrade","3",IF('Self-Assessment_Cases'!I78="Not Implemented - Compensating Control","5",IF('Self-Assessment_Cases'!I78="Not Implemented - Risk Negligible","5",IF('Self-Assessment_Cases'!I78="Not Implemented - Risk Accepted","1",IF('Self-Assessment_Cases'!I78="Not Implemented - Planned","1",IF('Self-Assessment_Cases'!I78="Not Implemented - Unplanned","1",".")))))))))</f>
        <v>.</v>
      </c>
      <c r="G78" s="9" t="s">
        <v>390</v>
      </c>
      <c r="H78" s="14"/>
      <c r="I78" s="92"/>
      <c r="J78" s="93"/>
      <c r="K78" s="85"/>
    </row>
    <row r="79" spans="1:11" s="6" customFormat="1" ht="42" x14ac:dyDescent="0.2">
      <c r="A79" s="4" t="s">
        <v>264</v>
      </c>
      <c r="B79" s="9"/>
      <c r="C79" s="89" t="s">
        <v>247</v>
      </c>
      <c r="D79" s="88" t="s">
        <v>1116</v>
      </c>
      <c r="E79" s="4" t="s">
        <v>221</v>
      </c>
      <c r="F79" s="8" t="str">
        <f>IF('Self-Assessment_Cases'!I79="Implemented","5",IF('Self-Assessment_Cases'!I79="In Progress - Administrative","3",IF('Self-Assessment_Cases'!I79="In Progress - Configuration","3",IF('Self-Assessment_Cases'!I79="In Progress - Installation/Upgrade","3",IF('Self-Assessment_Cases'!I79="Not Implemented - Compensating Control","5",IF('Self-Assessment_Cases'!I79="Not Implemented - Risk Negligible","5",IF('Self-Assessment_Cases'!I79="Not Implemented - Risk Accepted","1",IF('Self-Assessment_Cases'!I79="Not Implemented - Planned","1",IF('Self-Assessment_Cases'!I79="Not Implemented - Unplanned","1",".")))))))))</f>
        <v>.</v>
      </c>
      <c r="G79" s="9" t="s">
        <v>369</v>
      </c>
      <c r="H79" s="14"/>
      <c r="I79" s="92"/>
      <c r="J79" s="14"/>
      <c r="K79" s="9"/>
    </row>
    <row r="80" spans="1:11" s="108" customFormat="1" ht="42" x14ac:dyDescent="0.2">
      <c r="A80" s="10" t="s">
        <v>46</v>
      </c>
      <c r="B80" s="9" t="s">
        <v>331</v>
      </c>
      <c r="C80" s="112" t="s">
        <v>246</v>
      </c>
      <c r="D80" s="112" t="s">
        <v>1117</v>
      </c>
      <c r="E80" s="10" t="s">
        <v>45</v>
      </c>
      <c r="F80" s="107" t="str">
        <f>IF('Self-Assessment_Cases'!I80="Implemented","5",IF('Self-Assessment_Cases'!I80="In Progress - Administrative","3",IF('Self-Assessment_Cases'!I80="In Progress - Configuration","3",IF('Self-Assessment_Cases'!I80="In Progress - Installation/Upgrade","3",IF('Self-Assessment_Cases'!I80="Not Implemented - Compensating Control","5",IF('Self-Assessment_Cases'!I80="Not Implemented - Risk Negligible","5",IF('Self-Assessment_Cases'!I80="Not Implemented - Risk Accepted","1",IF('Self-Assessment_Cases'!I80="Not Implemented - Planned","1",IF('Self-Assessment_Cases'!I80="Not Implemented - Unplanned","1",".")))))))))</f>
        <v>.</v>
      </c>
      <c r="G80" s="9" t="s">
        <v>1259</v>
      </c>
      <c r="H80" s="10" t="s">
        <v>1240</v>
      </c>
      <c r="I80" s="92"/>
      <c r="J80" s="109"/>
      <c r="K80" s="9"/>
    </row>
    <row r="81" spans="1:11" s="108" customFormat="1" ht="70" x14ac:dyDescent="0.2">
      <c r="A81" s="10" t="s">
        <v>46</v>
      </c>
      <c r="B81" s="9" t="s">
        <v>331</v>
      </c>
      <c r="C81" s="112" t="s">
        <v>246</v>
      </c>
      <c r="D81" s="112" t="s">
        <v>775</v>
      </c>
      <c r="E81" s="10" t="s">
        <v>45</v>
      </c>
      <c r="F81" s="107" t="str">
        <f>IF('Self-Assessment_Cases'!I81="Implemented","5",IF('Self-Assessment_Cases'!I81="In Progress - Administrative","3",IF('Self-Assessment_Cases'!I81="In Progress - Configuration","3",IF('Self-Assessment_Cases'!I81="In Progress - Installation/Upgrade","3",IF('Self-Assessment_Cases'!I81="Not Implemented - Compensating Control","5",IF('Self-Assessment_Cases'!I81="Not Implemented - Risk Negligible","5",IF('Self-Assessment_Cases'!I81="Not Implemented - Risk Accepted","1",IF('Self-Assessment_Cases'!I81="Not Implemented - Planned","1",IF('Self-Assessment_Cases'!I81="Not Implemented - Unplanned","1",".")))))))))</f>
        <v>.</v>
      </c>
      <c r="G81" s="13" t="s">
        <v>1260</v>
      </c>
      <c r="H81" s="10"/>
      <c r="I81" s="92"/>
      <c r="J81" s="109"/>
      <c r="K81" s="9"/>
    </row>
    <row r="82" spans="1:11" s="3" customFormat="1" ht="16" x14ac:dyDescent="0.2">
      <c r="A82" s="4" t="s">
        <v>48</v>
      </c>
      <c r="B82" s="9" t="s">
        <v>366</v>
      </c>
      <c r="C82" s="89" t="s">
        <v>246</v>
      </c>
      <c r="D82" s="89" t="s">
        <v>1118</v>
      </c>
      <c r="E82" s="4" t="s">
        <v>47</v>
      </c>
      <c r="F82" s="8" t="str">
        <f>IF('Self-Assessment_Cases'!I82="Implemented","5",IF('Self-Assessment_Cases'!I82="In Progress - Administrative","3",IF('Self-Assessment_Cases'!I82="In Progress - Configuration","3",IF('Self-Assessment_Cases'!I82="In Progress - Installation/Upgrade","3",IF('Self-Assessment_Cases'!I82="Not Implemented - Compensating Control","5",IF('Self-Assessment_Cases'!I82="Not Implemented - Risk Negligible","5",IF('Self-Assessment_Cases'!I82="Not Implemented - Risk Accepted","1",IF('Self-Assessment_Cases'!I82="Not Implemented - Planned","1",IF('Self-Assessment_Cases'!I82="Not Implemented - Unplanned","1",".")))))))))</f>
        <v>.</v>
      </c>
      <c r="G82" s="10" t="s">
        <v>367</v>
      </c>
      <c r="H82" s="14"/>
      <c r="I82" s="92"/>
      <c r="J82" s="93"/>
      <c r="K82" s="86"/>
    </row>
    <row r="83" spans="1:11" s="3" customFormat="1" ht="70" x14ac:dyDescent="0.2">
      <c r="A83" s="4" t="s">
        <v>30</v>
      </c>
      <c r="B83" s="9" t="s">
        <v>342</v>
      </c>
      <c r="C83" s="89" t="s">
        <v>246</v>
      </c>
      <c r="D83" s="89" t="s">
        <v>1119</v>
      </c>
      <c r="E83" s="4" t="s">
        <v>29</v>
      </c>
      <c r="F83" s="8" t="str">
        <f>IF('Self-Assessment_Cases'!I83="Implemented","5",IF('Self-Assessment_Cases'!I83="In Progress - Administrative","3",IF('Self-Assessment_Cases'!I83="In Progress - Configuration","3",IF('Self-Assessment_Cases'!I83="In Progress - Installation/Upgrade","3",IF('Self-Assessment_Cases'!I83="Not Implemented - Compensating Control","5",IF('Self-Assessment_Cases'!I83="Not Implemented - Risk Negligible","5",IF('Self-Assessment_Cases'!I83="Not Implemented - Risk Accepted","1",IF('Self-Assessment_Cases'!I83="Not Implemented - Planned","1",IF('Self-Assessment_Cases'!I83="Not Implemented - Unplanned","1",".")))))))))</f>
        <v>.</v>
      </c>
      <c r="G83" s="9" t="s">
        <v>537</v>
      </c>
      <c r="H83" s="14" t="s">
        <v>536</v>
      </c>
      <c r="I83" s="92"/>
      <c r="J83" s="93"/>
      <c r="K83" s="85"/>
    </row>
    <row r="84" spans="1:11" s="3" customFormat="1" ht="140" x14ac:dyDescent="0.2">
      <c r="A84" s="4" t="s">
        <v>32</v>
      </c>
      <c r="B84" s="9" t="s">
        <v>339</v>
      </c>
      <c r="C84" s="89" t="s">
        <v>246</v>
      </c>
      <c r="D84" s="89" t="s">
        <v>1120</v>
      </c>
      <c r="E84" s="4" t="s">
        <v>31</v>
      </c>
      <c r="F84" s="8" t="str">
        <f>IF('Self-Assessment_Cases'!I84="Implemented","5",IF('Self-Assessment_Cases'!I84="In Progress - Administrative","3",IF('Self-Assessment_Cases'!I84="In Progress - Configuration","3",IF('Self-Assessment_Cases'!I84="In Progress - Installation/Upgrade","3",IF('Self-Assessment_Cases'!I84="Not Implemented - Compensating Control","5",IF('Self-Assessment_Cases'!I84="Not Implemented - Risk Negligible","5",IF('Self-Assessment_Cases'!I84="Not Implemented - Risk Accepted","1",IF('Self-Assessment_Cases'!I84="Not Implemented - Planned","1",IF('Self-Assessment_Cases'!I84="Not Implemented - Unplanned","1",".")))))))))</f>
        <v>.</v>
      </c>
      <c r="G84" s="9" t="s">
        <v>538</v>
      </c>
      <c r="H84" s="14" t="s">
        <v>539</v>
      </c>
      <c r="I84" s="92"/>
      <c r="J84" s="93"/>
      <c r="K84" s="85"/>
    </row>
    <row r="85" spans="1:11" s="108" customFormat="1" ht="42" x14ac:dyDescent="0.2">
      <c r="A85" s="10" t="s">
        <v>34</v>
      </c>
      <c r="B85" s="9" t="s">
        <v>364</v>
      </c>
      <c r="C85" s="112" t="s">
        <v>246</v>
      </c>
      <c r="D85" s="112" t="s">
        <v>1121</v>
      </c>
      <c r="E85" s="10" t="s">
        <v>33</v>
      </c>
      <c r="F85" s="107" t="str">
        <f>IF('Self-Assessment_Cases'!I85="Implemented","5",IF('Self-Assessment_Cases'!I85="In Progress - Administrative","3",IF('Self-Assessment_Cases'!I85="In Progress - Configuration","3",IF('Self-Assessment_Cases'!I85="In Progress - Installation/Upgrade","3",IF('Self-Assessment_Cases'!I85="Not Implemented - Compensating Control","5",IF('Self-Assessment_Cases'!I85="Not Implemented - Risk Negligible","5",IF('Self-Assessment_Cases'!I85="Not Implemented - Risk Accepted","1",IF('Self-Assessment_Cases'!I85="Not Implemented - Planned","1",IF('Self-Assessment_Cases'!I85="Not Implemented - Unplanned","1",".")))))))))</f>
        <v>.</v>
      </c>
      <c r="G85" s="9" t="s">
        <v>1256</v>
      </c>
      <c r="H85" s="10"/>
      <c r="I85" s="92"/>
      <c r="J85" s="109"/>
      <c r="K85" s="110"/>
    </row>
    <row r="86" spans="1:11" s="108" customFormat="1" ht="102" customHeight="1" x14ac:dyDescent="0.2">
      <c r="A86" s="10" t="s">
        <v>36</v>
      </c>
      <c r="B86" s="9" t="s">
        <v>365</v>
      </c>
      <c r="C86" s="112" t="s">
        <v>246</v>
      </c>
      <c r="D86" s="112" t="s">
        <v>1122</v>
      </c>
      <c r="E86" s="10" t="s">
        <v>35</v>
      </c>
      <c r="F86" s="107" t="str">
        <f>IF('Self-Assessment_Cases'!I86="Implemented","5",IF('Self-Assessment_Cases'!I86="In Progress - Administrative","3",IF('Self-Assessment_Cases'!I86="In Progress - Configuration","3",IF('Self-Assessment_Cases'!I86="In Progress - Installation/Upgrade","3",IF('Self-Assessment_Cases'!I86="Not Implemented - Compensating Control","5",IF('Self-Assessment_Cases'!I86="Not Implemented - Risk Negligible","5",IF('Self-Assessment_Cases'!I86="Not Implemented - Risk Accepted","1",IF('Self-Assessment_Cases'!I86="Not Implemented - Planned","1",IF('Self-Assessment_Cases'!I86="Not Implemented - Unplanned","1",".")))))))))</f>
        <v>.</v>
      </c>
      <c r="G86" s="10" t="s">
        <v>1257</v>
      </c>
      <c r="H86" s="10"/>
      <c r="I86" s="92"/>
      <c r="J86" s="109"/>
      <c r="K86" s="10"/>
    </row>
    <row r="87" spans="1:11" s="108" customFormat="1" ht="42" x14ac:dyDescent="0.2">
      <c r="A87" s="10" t="s">
        <v>36</v>
      </c>
      <c r="B87" s="9" t="s">
        <v>365</v>
      </c>
      <c r="C87" s="112" t="s">
        <v>246</v>
      </c>
      <c r="D87" s="112" t="s">
        <v>776</v>
      </c>
      <c r="E87" s="10" t="s">
        <v>35</v>
      </c>
      <c r="F87" s="107" t="str">
        <f>IF('Self-Assessment_Cases'!I87="Implemented","5",IF('Self-Assessment_Cases'!I87="In Progress - Administrative","3",IF('Self-Assessment_Cases'!I87="In Progress - Configuration","3",IF('Self-Assessment_Cases'!I87="In Progress - Installation/Upgrade","3",IF('Self-Assessment_Cases'!I87="Not Implemented - Compensating Control","5",IF('Self-Assessment_Cases'!I87="Not Implemented - Risk Negligible","5",IF('Self-Assessment_Cases'!I87="Not Implemented - Risk Accepted","1",IF('Self-Assessment_Cases'!I87="Not Implemented - Planned","1",IF('Self-Assessment_Cases'!I87="Not Implemented - Unplanned","1",".")))))))))</f>
        <v>.</v>
      </c>
      <c r="G87" s="10" t="s">
        <v>1258</v>
      </c>
      <c r="H87" s="10"/>
      <c r="I87" s="92"/>
      <c r="J87" s="109"/>
      <c r="K87" s="10"/>
    </row>
    <row r="88" spans="1:11" s="3" customFormat="1" ht="42" x14ac:dyDescent="0.2">
      <c r="A88" s="4" t="s">
        <v>38</v>
      </c>
      <c r="B88" s="9" t="s">
        <v>329</v>
      </c>
      <c r="C88" s="89" t="s">
        <v>246</v>
      </c>
      <c r="D88" s="89" t="s">
        <v>1123</v>
      </c>
      <c r="E88" s="4" t="s">
        <v>37</v>
      </c>
      <c r="F88" s="8" t="str">
        <f>IF('Self-Assessment_Cases'!I88="Implemented","5",IF('Self-Assessment_Cases'!I88="In Progress - Administrative","3",IF('Self-Assessment_Cases'!I88="In Progress - Configuration","3",IF('Self-Assessment_Cases'!I88="In Progress - Installation/Upgrade","3",IF('Self-Assessment_Cases'!I88="Not Implemented - Compensating Control","5",IF('Self-Assessment_Cases'!I88="Not Implemented - Risk Negligible","5",IF('Self-Assessment_Cases'!I88="Not Implemented - Risk Accepted","1",IF('Self-Assessment_Cases'!I88="Not Implemented - Planned","1",IF('Self-Assessment_Cases'!I88="Not Implemented - Unplanned","1",".")))))))))</f>
        <v>.</v>
      </c>
      <c r="G88" s="9" t="s">
        <v>708</v>
      </c>
      <c r="H88" s="14"/>
      <c r="I88" s="92"/>
      <c r="J88" s="93"/>
      <c r="K88" s="85"/>
    </row>
    <row r="89" spans="1:11" s="108" customFormat="1" ht="42" x14ac:dyDescent="0.2">
      <c r="A89" s="10" t="s">
        <v>38</v>
      </c>
      <c r="B89" s="9" t="s">
        <v>329</v>
      </c>
      <c r="C89" s="112" t="s">
        <v>246</v>
      </c>
      <c r="D89" s="112" t="s">
        <v>777</v>
      </c>
      <c r="E89" s="10" t="s">
        <v>37</v>
      </c>
      <c r="F89" s="107" t="str">
        <f>IF('Self-Assessment_Cases'!I89="Implemented","5",IF('Self-Assessment_Cases'!I89="In Progress - Administrative","3",IF('Self-Assessment_Cases'!I89="In Progress - Configuration","3",IF('Self-Assessment_Cases'!I89="In Progress - Installation/Upgrade","3",IF('Self-Assessment_Cases'!I89="Not Implemented - Compensating Control","5",IF('Self-Assessment_Cases'!I89="Not Implemented - Risk Negligible","5",IF('Self-Assessment_Cases'!I89="Not Implemented - Risk Accepted","1",IF('Self-Assessment_Cases'!I89="Not Implemented - Planned","1",IF('Self-Assessment_Cases'!I89="Not Implemented - Unplanned","1",".")))))))))</f>
        <v>.</v>
      </c>
      <c r="G89" s="9" t="s">
        <v>1261</v>
      </c>
      <c r="H89" s="10"/>
      <c r="I89" s="92"/>
      <c r="J89" s="109"/>
      <c r="K89" s="9"/>
    </row>
    <row r="90" spans="1:11" s="3" customFormat="1" ht="42" x14ac:dyDescent="0.2">
      <c r="A90" s="4" t="s">
        <v>40</v>
      </c>
      <c r="B90" s="9" t="s">
        <v>330</v>
      </c>
      <c r="C90" s="89" t="s">
        <v>247</v>
      </c>
      <c r="D90" s="89" t="s">
        <v>1124</v>
      </c>
      <c r="E90" s="4" t="s">
        <v>39</v>
      </c>
      <c r="F90" s="8" t="str">
        <f>IF('Self-Assessment_Cases'!I90="Implemented","5",IF('Self-Assessment_Cases'!I90="In Progress - Administrative","3",IF('Self-Assessment_Cases'!I90="In Progress - Configuration","3",IF('Self-Assessment_Cases'!I90="In Progress - Installation/Upgrade","3",IF('Self-Assessment_Cases'!I90="Not Implemented - Compensating Control","5",IF('Self-Assessment_Cases'!I90="Not Implemented - Risk Negligible","5",IF('Self-Assessment_Cases'!I90="Not Implemented - Risk Accepted","1",IF('Self-Assessment_Cases'!I90="Not Implemented - Planned","1",IF('Self-Assessment_Cases'!I90="Not Implemented - Unplanned","1",".")))))))))</f>
        <v>.</v>
      </c>
      <c r="G90" s="13" t="s">
        <v>586</v>
      </c>
      <c r="H90" s="14"/>
      <c r="I90" s="92"/>
      <c r="J90" s="14"/>
      <c r="K90" s="9"/>
    </row>
    <row r="91" spans="1:11" s="3" customFormat="1" ht="56" x14ac:dyDescent="0.2">
      <c r="A91" s="4" t="s">
        <v>40</v>
      </c>
      <c r="B91" s="9" t="s">
        <v>330</v>
      </c>
      <c r="C91" s="89" t="s">
        <v>247</v>
      </c>
      <c r="D91" s="89" t="s">
        <v>778</v>
      </c>
      <c r="E91" s="4" t="s">
        <v>39</v>
      </c>
      <c r="F91" s="8" t="str">
        <f>IF('Self-Assessment_Cases'!I91="Implemented","5",IF('Self-Assessment_Cases'!I91="In Progress - Administrative","3",IF('Self-Assessment_Cases'!I91="In Progress - Configuration","3",IF('Self-Assessment_Cases'!I91="In Progress - Installation/Upgrade","3",IF('Self-Assessment_Cases'!I91="Not Implemented - Compensating Control","5",IF('Self-Assessment_Cases'!I91="Not Implemented - Risk Negligible","5",IF('Self-Assessment_Cases'!I91="Not Implemented - Risk Accepted","1",IF('Self-Assessment_Cases'!I91="Not Implemented - Planned","1",IF('Self-Assessment_Cases'!I91="Not Implemented - Unplanned","1",".")))))))))</f>
        <v>.</v>
      </c>
      <c r="G91" s="13" t="s">
        <v>585</v>
      </c>
      <c r="H91" s="14"/>
      <c r="I91" s="92"/>
      <c r="J91" s="14"/>
      <c r="K91" s="9"/>
    </row>
    <row r="92" spans="1:11" s="3" customFormat="1" ht="70" x14ac:dyDescent="0.2">
      <c r="A92" s="4" t="s">
        <v>42</v>
      </c>
      <c r="B92" s="9" t="s">
        <v>339</v>
      </c>
      <c r="C92" s="89" t="s">
        <v>246</v>
      </c>
      <c r="D92" s="89" t="s">
        <v>1125</v>
      </c>
      <c r="E92" s="4" t="s">
        <v>41</v>
      </c>
      <c r="F92" s="8" t="str">
        <f>IF('Self-Assessment_Cases'!I92="Implemented","5",IF('Self-Assessment_Cases'!I92="In Progress - Administrative","3",IF('Self-Assessment_Cases'!I92="In Progress - Configuration","3",IF('Self-Assessment_Cases'!I92="In Progress - Installation/Upgrade","3",IF('Self-Assessment_Cases'!I92="Not Implemented - Compensating Control","5",IF('Self-Assessment_Cases'!I92="Not Implemented - Risk Negligible","5",IF('Self-Assessment_Cases'!I92="Not Implemented - Risk Accepted","1",IF('Self-Assessment_Cases'!I92="Not Implemented - Planned","1",IF('Self-Assessment_Cases'!I92="Not Implemented - Unplanned","1",".")))))))))</f>
        <v>.</v>
      </c>
      <c r="G92" s="13" t="s">
        <v>518</v>
      </c>
      <c r="H92" s="14"/>
      <c r="I92" s="92"/>
      <c r="J92" s="93"/>
      <c r="K92" s="85"/>
    </row>
    <row r="93" spans="1:11" s="3" customFormat="1" ht="84" x14ac:dyDescent="0.2">
      <c r="A93" s="4" t="s">
        <v>42</v>
      </c>
      <c r="B93" s="9" t="s">
        <v>339</v>
      </c>
      <c r="C93" s="89" t="s">
        <v>246</v>
      </c>
      <c r="D93" s="89" t="s">
        <v>779</v>
      </c>
      <c r="E93" s="4" t="s">
        <v>41</v>
      </c>
      <c r="F93" s="8" t="str">
        <f>IF('Self-Assessment_Cases'!I93="Implemented","5",IF('Self-Assessment_Cases'!I93="In Progress - Administrative","3",IF('Self-Assessment_Cases'!I93="In Progress - Configuration","3",IF('Self-Assessment_Cases'!I93="In Progress - Installation/Upgrade","3",IF('Self-Assessment_Cases'!I93="Not Implemented - Compensating Control","5",IF('Self-Assessment_Cases'!I93="Not Implemented - Risk Negligible","5",IF('Self-Assessment_Cases'!I93="Not Implemented - Risk Accepted","1",IF('Self-Assessment_Cases'!I93="Not Implemented - Planned","1",IF('Self-Assessment_Cases'!I93="Not Implemented - Unplanned","1",".")))))))))</f>
        <v>.</v>
      </c>
      <c r="G93" s="13" t="s">
        <v>519</v>
      </c>
      <c r="H93" s="14" t="s">
        <v>520</v>
      </c>
      <c r="I93" s="92"/>
      <c r="J93" s="93"/>
      <c r="K93" s="85"/>
    </row>
    <row r="94" spans="1:11" s="3" customFormat="1" ht="126" x14ac:dyDescent="0.2">
      <c r="A94" s="4" t="s">
        <v>44</v>
      </c>
      <c r="B94" s="9" t="s">
        <v>340</v>
      </c>
      <c r="C94" s="89" t="s">
        <v>246</v>
      </c>
      <c r="D94" s="89" t="s">
        <v>1126</v>
      </c>
      <c r="E94" s="4" t="s">
        <v>43</v>
      </c>
      <c r="F94" s="8" t="str">
        <f>IF('Self-Assessment_Cases'!I94="Implemented","5",IF('Self-Assessment_Cases'!I94="In Progress - Administrative","3",IF('Self-Assessment_Cases'!I94="In Progress - Configuration","3",IF('Self-Assessment_Cases'!I94="In Progress - Installation/Upgrade","3",IF('Self-Assessment_Cases'!I94="Not Implemented - Compensating Control","5",IF('Self-Assessment_Cases'!I94="Not Implemented - Risk Negligible","5",IF('Self-Assessment_Cases'!I94="Not Implemented - Risk Accepted","1",IF('Self-Assessment_Cases'!I94="Not Implemented - Planned","1",IF('Self-Assessment_Cases'!I94="Not Implemented - Unplanned","1",".")))))))))</f>
        <v>.</v>
      </c>
      <c r="G94" s="13" t="s">
        <v>521</v>
      </c>
      <c r="H94" s="14" t="s">
        <v>522</v>
      </c>
      <c r="I94" s="92"/>
      <c r="J94" s="93"/>
      <c r="K94" s="85"/>
    </row>
    <row r="95" spans="1:11" s="3" customFormat="1" ht="28" x14ac:dyDescent="0.2">
      <c r="A95" s="4" t="s">
        <v>50</v>
      </c>
      <c r="B95" s="9" t="s">
        <v>274</v>
      </c>
      <c r="C95" s="89" t="s">
        <v>246</v>
      </c>
      <c r="D95" s="89" t="s">
        <v>1127</v>
      </c>
      <c r="E95" s="4" t="s">
        <v>49</v>
      </c>
      <c r="F95" s="8" t="str">
        <f>IF('Self-Assessment_Cases'!I95="Implemented","5",IF('Self-Assessment_Cases'!I95="In Progress - Administrative","3",IF('Self-Assessment_Cases'!I95="In Progress - Configuration","3",IF('Self-Assessment_Cases'!I95="In Progress - Installation/Upgrade","3",IF('Self-Assessment_Cases'!I95="Not Implemented - Compensating Control","5",IF('Self-Assessment_Cases'!I95="Not Implemented - Risk Negligible","5",IF('Self-Assessment_Cases'!I95="Not Implemented - Risk Accepted","1",IF('Self-Assessment_Cases'!I95="Not Implemented - Planned","1",IF('Self-Assessment_Cases'!I95="Not Implemented - Unplanned","1",".")))))))))</f>
        <v>.</v>
      </c>
      <c r="G95" s="13" t="s">
        <v>1291</v>
      </c>
      <c r="H95" s="14"/>
      <c r="I95" s="92"/>
      <c r="J95" s="93"/>
      <c r="K95" s="85"/>
    </row>
    <row r="96" spans="1:11" s="6" customFormat="1" ht="28" x14ac:dyDescent="0.2">
      <c r="A96" s="4" t="s">
        <v>50</v>
      </c>
      <c r="B96" s="9" t="s">
        <v>274</v>
      </c>
      <c r="C96" s="89" t="s">
        <v>246</v>
      </c>
      <c r="D96" s="89" t="s">
        <v>780</v>
      </c>
      <c r="E96" s="4" t="s">
        <v>49</v>
      </c>
      <c r="F96" s="8" t="str">
        <f>IF('Self-Assessment_Cases'!I96="Implemented","5",IF('Self-Assessment_Cases'!I96="In Progress - Administrative","3",IF('Self-Assessment_Cases'!I96="In Progress - Configuration","3",IF('Self-Assessment_Cases'!I96="In Progress - Installation/Upgrade","3",IF('Self-Assessment_Cases'!I96="Not Implemented - Compensating Control","5",IF('Self-Assessment_Cases'!I96="Not Implemented - Risk Negligible","5",IF('Self-Assessment_Cases'!I96="Not Implemented - Risk Accepted","1",IF('Self-Assessment_Cases'!I96="Not Implemented - Planned","1",IF('Self-Assessment_Cases'!I96="Not Implemented - Unplanned","1",".")))))))))</f>
        <v>.</v>
      </c>
      <c r="G96" s="13" t="s">
        <v>1292</v>
      </c>
      <c r="H96" s="14"/>
      <c r="I96" s="92"/>
      <c r="J96" s="93"/>
      <c r="K96" s="85"/>
    </row>
    <row r="97" spans="1:11" s="6" customFormat="1" ht="28" x14ac:dyDescent="0.2">
      <c r="A97" s="4" t="s">
        <v>50</v>
      </c>
      <c r="B97" s="9" t="s">
        <v>274</v>
      </c>
      <c r="C97" s="89" t="s">
        <v>246</v>
      </c>
      <c r="D97" s="89" t="s">
        <v>864</v>
      </c>
      <c r="E97" s="4" t="s">
        <v>49</v>
      </c>
      <c r="F97" s="8" t="str">
        <f>IF('Self-Assessment_Cases'!I97="Implemented","5",IF('Self-Assessment_Cases'!I97="In Progress - Administrative","3",IF('Self-Assessment_Cases'!I97="In Progress - Configuration","3",IF('Self-Assessment_Cases'!I97="In Progress - Installation/Upgrade","3",IF('Self-Assessment_Cases'!I97="Not Implemented - Compensating Control","5",IF('Self-Assessment_Cases'!I97="Not Implemented - Risk Negligible","5",IF('Self-Assessment_Cases'!I97="Not Implemented - Risk Accepted","1",IF('Self-Assessment_Cases'!I97="Not Implemented - Planned","1",IF('Self-Assessment_Cases'!I97="Not Implemented - Unplanned","1",".")))))))))</f>
        <v>.</v>
      </c>
      <c r="G97" s="13" t="s">
        <v>1293</v>
      </c>
      <c r="H97" s="14"/>
      <c r="I97" s="92"/>
      <c r="J97" s="93"/>
      <c r="K97" s="85"/>
    </row>
    <row r="98" spans="1:11" s="6" customFormat="1" ht="28" x14ac:dyDescent="0.2">
      <c r="A98" s="4" t="s">
        <v>50</v>
      </c>
      <c r="B98" s="9" t="s">
        <v>274</v>
      </c>
      <c r="C98" s="89" t="s">
        <v>246</v>
      </c>
      <c r="D98" s="89" t="s">
        <v>930</v>
      </c>
      <c r="E98" s="4" t="s">
        <v>49</v>
      </c>
      <c r="F98" s="8" t="str">
        <f>IF('Self-Assessment_Cases'!I98="Implemented","5",IF('Self-Assessment_Cases'!I98="In Progress - Administrative","3",IF('Self-Assessment_Cases'!I98="In Progress - Configuration","3",IF('Self-Assessment_Cases'!I98="In Progress - Installation/Upgrade","3",IF('Self-Assessment_Cases'!I98="Not Implemented - Compensating Control","5",IF('Self-Assessment_Cases'!I98="Not Implemented - Risk Negligible","5",IF('Self-Assessment_Cases'!I98="Not Implemented - Risk Accepted","1",IF('Self-Assessment_Cases'!I98="Not Implemented - Planned","1",IF('Self-Assessment_Cases'!I98="Not Implemented - Unplanned","1",".")))))))))</f>
        <v>.</v>
      </c>
      <c r="G98" s="13" t="s">
        <v>1294</v>
      </c>
      <c r="H98" s="14"/>
      <c r="I98" s="92"/>
      <c r="J98" s="93"/>
      <c r="K98" s="85"/>
    </row>
    <row r="99" spans="1:11" s="6" customFormat="1" ht="28" x14ac:dyDescent="0.2">
      <c r="A99" s="4" t="s">
        <v>50</v>
      </c>
      <c r="B99" s="9" t="s">
        <v>274</v>
      </c>
      <c r="C99" s="89" t="s">
        <v>246</v>
      </c>
      <c r="D99" s="89" t="s">
        <v>981</v>
      </c>
      <c r="E99" s="4" t="s">
        <v>49</v>
      </c>
      <c r="F99" s="8" t="str">
        <f>IF('Self-Assessment_Cases'!I99="Implemented","5",IF('Self-Assessment_Cases'!I99="In Progress - Administrative","3",IF('Self-Assessment_Cases'!I99="In Progress - Configuration","3",IF('Self-Assessment_Cases'!I99="In Progress - Installation/Upgrade","3",IF('Self-Assessment_Cases'!I99="Not Implemented - Compensating Control","5",IF('Self-Assessment_Cases'!I99="Not Implemented - Risk Negligible","5",IF('Self-Assessment_Cases'!I99="Not Implemented - Risk Accepted","1",IF('Self-Assessment_Cases'!I99="Not Implemented - Planned","1",IF('Self-Assessment_Cases'!I99="Not Implemented - Unplanned","1",".")))))))))</f>
        <v>.</v>
      </c>
      <c r="G99" s="13" t="s">
        <v>1295</v>
      </c>
      <c r="H99" s="14"/>
      <c r="I99" s="92"/>
      <c r="J99" s="93"/>
      <c r="K99" s="85"/>
    </row>
    <row r="100" spans="1:11" s="6" customFormat="1" ht="28" x14ac:dyDescent="0.2">
      <c r="A100" s="4" t="s">
        <v>50</v>
      </c>
      <c r="B100" s="9" t="s">
        <v>274</v>
      </c>
      <c r="C100" s="89" t="s">
        <v>246</v>
      </c>
      <c r="D100" s="89" t="s">
        <v>1016</v>
      </c>
      <c r="E100" s="4" t="s">
        <v>49</v>
      </c>
      <c r="F100" s="8" t="str">
        <f>IF('Self-Assessment_Cases'!I100="Implemented","5",IF('Self-Assessment_Cases'!I100="In Progress - Administrative","3",IF('Self-Assessment_Cases'!I100="In Progress - Configuration","3",IF('Self-Assessment_Cases'!I100="In Progress - Installation/Upgrade","3",IF('Self-Assessment_Cases'!I100="Not Implemented - Compensating Control","5",IF('Self-Assessment_Cases'!I100="Not Implemented - Risk Negligible","5",IF('Self-Assessment_Cases'!I100="Not Implemented - Risk Accepted","1",IF('Self-Assessment_Cases'!I100="Not Implemented - Planned","1",IF('Self-Assessment_Cases'!I100="Not Implemented - Unplanned","1",".")))))))))</f>
        <v>.</v>
      </c>
      <c r="G100" s="13" t="s">
        <v>1296</v>
      </c>
      <c r="H100" s="14"/>
      <c r="I100" s="92"/>
      <c r="J100" s="93"/>
      <c r="K100" s="85"/>
    </row>
    <row r="101" spans="1:11" s="6" customFormat="1" ht="42" x14ac:dyDescent="0.2">
      <c r="A101" s="4" t="s">
        <v>50</v>
      </c>
      <c r="B101" s="9" t="s">
        <v>274</v>
      </c>
      <c r="C101" s="89" t="s">
        <v>246</v>
      </c>
      <c r="D101" s="89" t="s">
        <v>1042</v>
      </c>
      <c r="E101" s="4" t="s">
        <v>49</v>
      </c>
      <c r="F101" s="8" t="str">
        <f>IF('Self-Assessment_Cases'!I101="Implemented","5",IF('Self-Assessment_Cases'!I101="In Progress - Administrative","3",IF('Self-Assessment_Cases'!I101="In Progress - Configuration","3",IF('Self-Assessment_Cases'!I101="In Progress - Installation/Upgrade","3",IF('Self-Assessment_Cases'!I101="Not Implemented - Compensating Control","5",IF('Self-Assessment_Cases'!I101="Not Implemented - Risk Negligible","5",IF('Self-Assessment_Cases'!I101="Not Implemented - Risk Accepted","1",IF('Self-Assessment_Cases'!I101="Not Implemented - Planned","1",IF('Self-Assessment_Cases'!I101="Not Implemented - Unplanned","1",".")))))))))</f>
        <v>.</v>
      </c>
      <c r="G101" s="13" t="s">
        <v>1297</v>
      </c>
      <c r="H101" s="14"/>
      <c r="I101" s="92"/>
      <c r="J101" s="93"/>
      <c r="K101" s="85"/>
    </row>
    <row r="102" spans="1:11" s="6" customFormat="1" ht="56" x14ac:dyDescent="0.2">
      <c r="A102" s="4" t="s">
        <v>50</v>
      </c>
      <c r="B102" s="9" t="s">
        <v>274</v>
      </c>
      <c r="C102" s="89" t="s">
        <v>246</v>
      </c>
      <c r="D102" s="89" t="s">
        <v>1064</v>
      </c>
      <c r="E102" s="4" t="s">
        <v>49</v>
      </c>
      <c r="F102" s="8" t="str">
        <f>IF('Self-Assessment_Cases'!I102="Implemented","5",IF('Self-Assessment_Cases'!I102="In Progress - Administrative","3",IF('Self-Assessment_Cases'!I102="In Progress - Configuration","3",IF('Self-Assessment_Cases'!I102="In Progress - Installation/Upgrade","3",IF('Self-Assessment_Cases'!I102="Not Implemented - Compensating Control","5",IF('Self-Assessment_Cases'!I102="Not Implemented - Risk Negligible","5",IF('Self-Assessment_Cases'!I102="Not Implemented - Risk Accepted","1",IF('Self-Assessment_Cases'!I102="Not Implemented - Planned","1",IF('Self-Assessment_Cases'!I102="Not Implemented - Unplanned","1",".")))))))))</f>
        <v>.</v>
      </c>
      <c r="G102" s="13" t="s">
        <v>1298</v>
      </c>
      <c r="H102" s="14"/>
      <c r="I102" s="92"/>
      <c r="J102" s="93"/>
      <c r="K102" s="85"/>
    </row>
    <row r="103" spans="1:11" s="6" customFormat="1" ht="42" x14ac:dyDescent="0.2">
      <c r="A103" s="4" t="s">
        <v>50</v>
      </c>
      <c r="B103" s="9" t="s">
        <v>274</v>
      </c>
      <c r="C103" s="89" t="s">
        <v>246</v>
      </c>
      <c r="D103" s="89" t="s">
        <v>1084</v>
      </c>
      <c r="E103" s="4" t="s">
        <v>49</v>
      </c>
      <c r="F103" s="8" t="str">
        <f>IF('Self-Assessment_Cases'!I103="Implemented","5",IF('Self-Assessment_Cases'!I103="In Progress - Administrative","3",IF('Self-Assessment_Cases'!I103="In Progress - Configuration","3",IF('Self-Assessment_Cases'!I103="In Progress - Installation/Upgrade","3",IF('Self-Assessment_Cases'!I103="Not Implemented - Compensating Control","5",IF('Self-Assessment_Cases'!I103="Not Implemented - Risk Negligible","5",IF('Self-Assessment_Cases'!I103="Not Implemented - Risk Accepted","1",IF('Self-Assessment_Cases'!I103="Not Implemented - Planned","1",IF('Self-Assessment_Cases'!I103="Not Implemented - Unplanned","1",".")))))))))</f>
        <v>.</v>
      </c>
      <c r="G103" s="13" t="s">
        <v>389</v>
      </c>
      <c r="H103" s="14"/>
      <c r="I103" s="92"/>
      <c r="J103" s="93"/>
      <c r="K103" s="85"/>
    </row>
    <row r="104" spans="1:11" s="6" customFormat="1" ht="42" x14ac:dyDescent="0.2">
      <c r="A104" s="4" t="s">
        <v>50</v>
      </c>
      <c r="B104" s="9" t="s">
        <v>274</v>
      </c>
      <c r="C104" s="89" t="s">
        <v>246</v>
      </c>
      <c r="D104" s="89" t="s">
        <v>1299</v>
      </c>
      <c r="E104" s="4" t="s">
        <v>49</v>
      </c>
      <c r="F104" s="8" t="str">
        <f>IF('Self-Assessment_Cases'!I104="Implemented","5",IF('Self-Assessment_Cases'!I104="In Progress - Administrative","3",IF('Self-Assessment_Cases'!I104="In Progress - Configuration","3",IF('Self-Assessment_Cases'!I104="In Progress - Installation/Upgrade","3",IF('Self-Assessment_Cases'!I104="Not Implemented - Compensating Control","5",IF('Self-Assessment_Cases'!I104="Not Implemented - Risk Negligible","5",IF('Self-Assessment_Cases'!I104="Not Implemented - Risk Accepted","1",IF('Self-Assessment_Cases'!I104="Not Implemented - Planned","1",IF('Self-Assessment_Cases'!I104="Not Implemented - Unplanned","1",".")))))))))</f>
        <v>.</v>
      </c>
      <c r="G104" s="13" t="s">
        <v>390</v>
      </c>
      <c r="H104" s="14"/>
      <c r="I104" s="92"/>
      <c r="J104" s="93"/>
      <c r="K104" s="85"/>
    </row>
    <row r="105" spans="1:11" s="6" customFormat="1" ht="64.5" customHeight="1" x14ac:dyDescent="0.2">
      <c r="A105" s="4" t="s">
        <v>52</v>
      </c>
      <c r="B105" s="9" t="s">
        <v>275</v>
      </c>
      <c r="C105" s="89" t="s">
        <v>246</v>
      </c>
      <c r="D105" s="89" t="s">
        <v>1128</v>
      </c>
      <c r="E105" s="4" t="s">
        <v>51</v>
      </c>
      <c r="F105" s="8" t="str">
        <f>IF('Self-Assessment_Cases'!I105="Implemented","5",IF('Self-Assessment_Cases'!I105="In Progress - Administrative","3",IF('Self-Assessment_Cases'!I105="In Progress - Configuration","3",IF('Self-Assessment_Cases'!I105="In Progress - Installation/Upgrade","3",IF('Self-Assessment_Cases'!I105="Not Implemented - Compensating Control","5",IF('Self-Assessment_Cases'!I105="Not Implemented - Risk Negligible","5",IF('Self-Assessment_Cases'!I105="Not Implemented - Risk Accepted","1",IF('Self-Assessment_Cases'!I105="Not Implemented - Planned","1",IF('Self-Assessment_Cases'!I105="Not Implemented - Unplanned","1",".")))))))))</f>
        <v>.</v>
      </c>
      <c r="G105" s="13" t="s">
        <v>483</v>
      </c>
      <c r="H105" s="86"/>
      <c r="I105" s="92"/>
      <c r="J105" s="93"/>
      <c r="K105" s="95"/>
    </row>
    <row r="106" spans="1:11" s="108" customFormat="1" ht="70" x14ac:dyDescent="0.2">
      <c r="A106" s="10" t="s">
        <v>52</v>
      </c>
      <c r="B106" s="9" t="s">
        <v>275</v>
      </c>
      <c r="C106" s="112" t="s">
        <v>246</v>
      </c>
      <c r="D106" s="112" t="s">
        <v>781</v>
      </c>
      <c r="E106" s="10" t="s">
        <v>51</v>
      </c>
      <c r="F106" s="107" t="str">
        <f>IF('Self-Assessment_Cases'!I106="Implemented","5",IF('Self-Assessment_Cases'!I106="In Progress - Administrative","3",IF('Self-Assessment_Cases'!I106="In Progress - Configuration","3",IF('Self-Assessment_Cases'!I106="In Progress - Installation/Upgrade","3",IF('Self-Assessment_Cases'!I106="Not Implemented - Compensating Control","5",IF('Self-Assessment_Cases'!I106="Not Implemented - Risk Negligible","5",IF('Self-Assessment_Cases'!I106="Not Implemented - Risk Accepted","1",IF('Self-Assessment_Cases'!I106="Not Implemented - Planned","1",IF('Self-Assessment_Cases'!I106="Not Implemented - Unplanned","1",".")))))))))</f>
        <v>.</v>
      </c>
      <c r="G106" s="13" t="s">
        <v>484</v>
      </c>
      <c r="H106" s="10"/>
      <c r="I106" s="92"/>
      <c r="J106" s="109"/>
      <c r="K106" s="9"/>
    </row>
    <row r="107" spans="1:11" s="6" customFormat="1" ht="70" x14ac:dyDescent="0.2">
      <c r="A107" s="4" t="s">
        <v>52</v>
      </c>
      <c r="B107" s="9" t="s">
        <v>275</v>
      </c>
      <c r="C107" s="89" t="s">
        <v>246</v>
      </c>
      <c r="D107" s="89" t="s">
        <v>865</v>
      </c>
      <c r="E107" s="4" t="s">
        <v>51</v>
      </c>
      <c r="F107" s="8" t="str">
        <f>IF('Self-Assessment_Cases'!I107="Implemented","5",IF('Self-Assessment_Cases'!I107="In Progress - Administrative","3",IF('Self-Assessment_Cases'!I107="In Progress - Configuration","3",IF('Self-Assessment_Cases'!I107="In Progress - Installation/Upgrade","3",IF('Self-Assessment_Cases'!I107="Not Implemented - Compensating Control","5",IF('Self-Assessment_Cases'!I107="Not Implemented - Risk Negligible","5",IF('Self-Assessment_Cases'!I107="Not Implemented - Risk Accepted","1",IF('Self-Assessment_Cases'!I107="Not Implemented - Planned","1",IF('Self-Assessment_Cases'!I107="Not Implemented - Unplanned","1",".")))))))))</f>
        <v>.</v>
      </c>
      <c r="G107" s="13" t="s">
        <v>485</v>
      </c>
      <c r="H107" s="14"/>
      <c r="I107" s="92"/>
      <c r="J107" s="93"/>
      <c r="K107" s="85"/>
    </row>
    <row r="108" spans="1:11" s="108" customFormat="1" ht="70" x14ac:dyDescent="0.2">
      <c r="A108" s="10" t="s">
        <v>54</v>
      </c>
      <c r="B108" s="9" t="s">
        <v>290</v>
      </c>
      <c r="C108" s="112" t="s">
        <v>246</v>
      </c>
      <c r="D108" s="112" t="s">
        <v>1129</v>
      </c>
      <c r="E108" s="10" t="s">
        <v>53</v>
      </c>
      <c r="F108" s="107" t="str">
        <f>IF('Self-Assessment_Cases'!I108="Implemented","5",IF('Self-Assessment_Cases'!I108="In Progress - Administrative","3",IF('Self-Assessment_Cases'!I108="In Progress - Configuration","3",IF('Self-Assessment_Cases'!I108="In Progress - Installation/Upgrade","3",IF('Self-Assessment_Cases'!I108="Not Implemented - Compensating Control","5",IF('Self-Assessment_Cases'!I108="Not Implemented - Risk Negligible","5",IF('Self-Assessment_Cases'!I108="Not Implemented - Risk Accepted","1",IF('Self-Assessment_Cases'!I108="Not Implemented - Planned","1",IF('Self-Assessment_Cases'!I108="Not Implemented - Unplanned","1",".")))))))))</f>
        <v>.</v>
      </c>
      <c r="G108" s="13" t="s">
        <v>1262</v>
      </c>
      <c r="H108" s="10"/>
      <c r="I108" s="92"/>
      <c r="J108" s="109"/>
      <c r="K108" s="9"/>
    </row>
    <row r="109" spans="1:11" s="5" customFormat="1" ht="56" x14ac:dyDescent="0.2">
      <c r="A109" s="4" t="s">
        <v>54</v>
      </c>
      <c r="B109" s="9" t="s">
        <v>290</v>
      </c>
      <c r="C109" s="89" t="s">
        <v>246</v>
      </c>
      <c r="D109" s="89" t="s">
        <v>782</v>
      </c>
      <c r="E109" s="4" t="s">
        <v>53</v>
      </c>
      <c r="F109" s="8" t="str">
        <f>IF('Self-Assessment_Cases'!I109="Implemented","5",IF('Self-Assessment_Cases'!I109="In Progress - Administrative","3",IF('Self-Assessment_Cases'!I109="In Progress - Configuration","3",IF('Self-Assessment_Cases'!I109="In Progress - Installation/Upgrade","3",IF('Self-Assessment_Cases'!I109="Not Implemented - Compensating Control","5",IF('Self-Assessment_Cases'!I109="Not Implemented - Risk Negligible","5",IF('Self-Assessment_Cases'!I109="Not Implemented - Risk Accepted","1",IF('Self-Assessment_Cases'!I109="Not Implemented - Planned","1",IF('Self-Assessment_Cases'!I109="Not Implemented - Unplanned","1",".")))))))))</f>
        <v>.</v>
      </c>
      <c r="G109" s="13" t="s">
        <v>560</v>
      </c>
      <c r="H109" s="14"/>
      <c r="I109" s="92"/>
      <c r="J109" s="93"/>
      <c r="K109" s="85"/>
    </row>
    <row r="110" spans="1:11" s="5" customFormat="1" ht="42" x14ac:dyDescent="0.2">
      <c r="A110" s="4" t="s">
        <v>54</v>
      </c>
      <c r="B110" s="9" t="s">
        <v>290</v>
      </c>
      <c r="C110" s="89" t="s">
        <v>246</v>
      </c>
      <c r="D110" s="89" t="s">
        <v>866</v>
      </c>
      <c r="E110" s="4" t="s">
        <v>53</v>
      </c>
      <c r="F110" s="8" t="str">
        <f>IF('Self-Assessment_Cases'!I110="Implemented","5",IF('Self-Assessment_Cases'!I110="In Progress - Administrative","3",IF('Self-Assessment_Cases'!I110="In Progress - Configuration","3",IF('Self-Assessment_Cases'!I110="In Progress - Installation/Upgrade","3",IF('Self-Assessment_Cases'!I110="Not Implemented - Compensating Control","5",IF('Self-Assessment_Cases'!I110="Not Implemented - Risk Negligible","5",IF('Self-Assessment_Cases'!I110="Not Implemented - Risk Accepted","1",IF('Self-Assessment_Cases'!I110="Not Implemented - Planned","1",IF('Self-Assessment_Cases'!I110="Not Implemented - Unplanned","1",".")))))))))</f>
        <v>.</v>
      </c>
      <c r="G110" s="13" t="s">
        <v>561</v>
      </c>
      <c r="H110" s="14"/>
      <c r="I110" s="92"/>
      <c r="J110" s="93"/>
      <c r="K110" s="85"/>
    </row>
    <row r="111" spans="1:11" s="5" customFormat="1" ht="56" x14ac:dyDescent="0.2">
      <c r="A111" s="4" t="s">
        <v>54</v>
      </c>
      <c r="B111" s="9" t="s">
        <v>290</v>
      </c>
      <c r="C111" s="89" t="s">
        <v>246</v>
      </c>
      <c r="D111" s="89" t="s">
        <v>931</v>
      </c>
      <c r="E111" s="4" t="s">
        <v>53</v>
      </c>
      <c r="F111" s="8" t="str">
        <f>IF('Self-Assessment_Cases'!I111="Implemented","5",IF('Self-Assessment_Cases'!I111="In Progress - Administrative","3",IF('Self-Assessment_Cases'!I111="In Progress - Configuration","3",IF('Self-Assessment_Cases'!I111="In Progress - Installation/Upgrade","3",IF('Self-Assessment_Cases'!I111="Not Implemented - Compensating Control","5",IF('Self-Assessment_Cases'!I111="Not Implemented - Risk Negligible","5",IF('Self-Assessment_Cases'!I111="Not Implemented - Risk Accepted","1",IF('Self-Assessment_Cases'!I111="Not Implemented - Planned","1",IF('Self-Assessment_Cases'!I111="Not Implemented - Unplanned","1",".")))))))))</f>
        <v>.</v>
      </c>
      <c r="G111" s="13" t="s">
        <v>562</v>
      </c>
      <c r="H111" s="14"/>
      <c r="I111" s="92"/>
      <c r="J111" s="93"/>
      <c r="K111" s="85"/>
    </row>
    <row r="112" spans="1:11" s="81" customFormat="1" ht="28" x14ac:dyDescent="0.2">
      <c r="A112" s="72" t="s">
        <v>55</v>
      </c>
      <c r="B112" s="9" t="s">
        <v>291</v>
      </c>
      <c r="C112" s="89" t="s">
        <v>245</v>
      </c>
      <c r="D112" s="88" t="s">
        <v>1130</v>
      </c>
      <c r="E112" s="4" t="s">
        <v>751</v>
      </c>
      <c r="F112" s="8" t="str">
        <f>IF('Self-Assessment_Cases'!I112="Implemented","5",IF('Self-Assessment_Cases'!I112="In Progress - Administrative","3",IF('Self-Assessment_Cases'!I112="In Progress - Configuration","3",IF('Self-Assessment_Cases'!I112="In Progress - Installation/Upgrade","3",IF('Self-Assessment_Cases'!I112="Not Implemented - Compensating Control","5",IF('Self-Assessment_Cases'!I112="Not Implemented - Risk Negligible","5",IF('Self-Assessment_Cases'!I112="Not Implemented - Risk Accepted","1",IF('Self-Assessment_Cases'!I112="Not Implemented - Planned","1",IF('Self-Assessment_Cases'!I112="Not Implemented - Unplanned","1",".")))))))))</f>
        <v>.</v>
      </c>
      <c r="G112" s="80" t="s">
        <v>709</v>
      </c>
      <c r="H112" s="14"/>
      <c r="I112" s="92"/>
      <c r="J112" s="96"/>
      <c r="K112" s="75"/>
    </row>
    <row r="113" spans="1:11" s="5" customFormat="1" ht="70" x14ac:dyDescent="0.2">
      <c r="A113" s="4" t="s">
        <v>57</v>
      </c>
      <c r="B113" s="9" t="s">
        <v>292</v>
      </c>
      <c r="C113" s="89" t="s">
        <v>247</v>
      </c>
      <c r="D113" s="89" t="s">
        <v>1131</v>
      </c>
      <c r="E113" s="4" t="s">
        <v>56</v>
      </c>
      <c r="F113" s="8" t="str">
        <f>IF('Self-Assessment_Cases'!I113="Implemented","5",IF('Self-Assessment_Cases'!I113="In Progress - Administrative","3",IF('Self-Assessment_Cases'!I113="In Progress - Configuration","3",IF('Self-Assessment_Cases'!I113="In Progress - Installation/Upgrade","3",IF('Self-Assessment_Cases'!I113="Not Implemented - Compensating Control","5",IF('Self-Assessment_Cases'!I113="Not Implemented - Risk Negligible","5",IF('Self-Assessment_Cases'!I113="Not Implemented - Risk Accepted","1",IF('Self-Assessment_Cases'!I113="Not Implemented - Planned","1",IF('Self-Assessment_Cases'!I113="Not Implemented - Unplanned","1",".")))))))))</f>
        <v>.</v>
      </c>
      <c r="G113" s="13" t="s">
        <v>587</v>
      </c>
      <c r="H113" s="14"/>
      <c r="I113" s="92"/>
      <c r="J113" s="14"/>
      <c r="K113" s="9"/>
    </row>
    <row r="114" spans="1:11" s="5" customFormat="1" ht="28" x14ac:dyDescent="0.2">
      <c r="A114" s="4" t="s">
        <v>57</v>
      </c>
      <c r="B114" s="9" t="s">
        <v>292</v>
      </c>
      <c r="C114" s="89" t="s">
        <v>247</v>
      </c>
      <c r="D114" s="89" t="s">
        <v>783</v>
      </c>
      <c r="E114" s="4" t="s">
        <v>56</v>
      </c>
      <c r="F114" s="8" t="str">
        <f>IF('Self-Assessment_Cases'!I114="Implemented","5",IF('Self-Assessment_Cases'!I114="In Progress - Administrative","3",IF('Self-Assessment_Cases'!I114="In Progress - Configuration","3",IF('Self-Assessment_Cases'!I114="In Progress - Installation/Upgrade","3",IF('Self-Assessment_Cases'!I114="Not Implemented - Compensating Control","5",IF('Self-Assessment_Cases'!I114="Not Implemented - Risk Negligible","5",IF('Self-Assessment_Cases'!I114="Not Implemented - Risk Accepted","1",IF('Self-Assessment_Cases'!I114="Not Implemented - Planned","1",IF('Self-Assessment_Cases'!I114="Not Implemented - Unplanned","1",".")))))))))</f>
        <v>.</v>
      </c>
      <c r="G114" s="13" t="s">
        <v>588</v>
      </c>
      <c r="H114" s="14"/>
      <c r="I114" s="92"/>
      <c r="J114" s="14"/>
      <c r="K114" s="9"/>
    </row>
    <row r="115" spans="1:11" s="5" customFormat="1" ht="28" x14ac:dyDescent="0.2">
      <c r="A115" s="4" t="s">
        <v>57</v>
      </c>
      <c r="B115" s="9" t="s">
        <v>292</v>
      </c>
      <c r="C115" s="89" t="s">
        <v>247</v>
      </c>
      <c r="D115" s="89" t="s">
        <v>867</v>
      </c>
      <c r="E115" s="4" t="s">
        <v>56</v>
      </c>
      <c r="F115" s="8" t="str">
        <f>IF('Self-Assessment_Cases'!I115="Implemented","5",IF('Self-Assessment_Cases'!I115="In Progress - Administrative","3",IF('Self-Assessment_Cases'!I115="In Progress - Configuration","3",IF('Self-Assessment_Cases'!I115="In Progress - Installation/Upgrade","3",IF('Self-Assessment_Cases'!I115="Not Implemented - Compensating Control","5",IF('Self-Assessment_Cases'!I115="Not Implemented - Risk Negligible","5",IF('Self-Assessment_Cases'!I115="Not Implemented - Risk Accepted","1",IF('Self-Assessment_Cases'!I115="Not Implemented - Planned","1",IF('Self-Assessment_Cases'!I115="Not Implemented - Unplanned","1",".")))))))))</f>
        <v>.</v>
      </c>
      <c r="G115" s="13" t="s">
        <v>589</v>
      </c>
      <c r="H115" s="14"/>
      <c r="I115" s="92"/>
      <c r="J115" s="14"/>
      <c r="K115" s="9"/>
    </row>
    <row r="116" spans="1:11" s="6" customFormat="1" ht="28" x14ac:dyDescent="0.2">
      <c r="A116" s="4" t="s">
        <v>57</v>
      </c>
      <c r="B116" s="9" t="s">
        <v>292</v>
      </c>
      <c r="C116" s="89" t="s">
        <v>247</v>
      </c>
      <c r="D116" s="89" t="s">
        <v>932</v>
      </c>
      <c r="E116" s="4" t="s">
        <v>56</v>
      </c>
      <c r="F116" s="8" t="str">
        <f>IF('Self-Assessment_Cases'!I116="Implemented","5",IF('Self-Assessment_Cases'!I116="In Progress - Administrative","3",IF('Self-Assessment_Cases'!I116="In Progress - Configuration","3",IF('Self-Assessment_Cases'!I116="In Progress - Installation/Upgrade","3",IF('Self-Assessment_Cases'!I116="Not Implemented - Compensating Control","5",IF('Self-Assessment_Cases'!I116="Not Implemented - Risk Negligible","5",IF('Self-Assessment_Cases'!I116="Not Implemented - Risk Accepted","1",IF('Self-Assessment_Cases'!I116="Not Implemented - Planned","1",IF('Self-Assessment_Cases'!I116="Not Implemented - Unplanned","1",".")))))))))</f>
        <v>.</v>
      </c>
      <c r="G116" s="13" t="s">
        <v>590</v>
      </c>
      <c r="H116" s="14"/>
      <c r="I116" s="92"/>
      <c r="J116" s="14"/>
      <c r="K116" s="9"/>
    </row>
    <row r="117" spans="1:11" s="79" customFormat="1" ht="42" x14ac:dyDescent="0.2">
      <c r="A117" s="72" t="s">
        <v>272</v>
      </c>
      <c r="B117" s="9"/>
      <c r="C117" s="89" t="s">
        <v>245</v>
      </c>
      <c r="D117" s="88" t="s">
        <v>1132</v>
      </c>
      <c r="E117" s="4" t="s">
        <v>222</v>
      </c>
      <c r="F117" s="8" t="str">
        <f>IF('Self-Assessment_Cases'!I117="Implemented","5",IF('Self-Assessment_Cases'!I117="In Progress - Administrative","3",IF('Self-Assessment_Cases'!I117="In Progress - Configuration","3",IF('Self-Assessment_Cases'!I117="In Progress - Installation/Upgrade","3",IF('Self-Assessment_Cases'!I117="Not Implemented - Compensating Control","5",IF('Self-Assessment_Cases'!I117="Not Implemented - Risk Negligible","5",IF('Self-Assessment_Cases'!I117="Not Implemented - Risk Accepted","1",IF('Self-Assessment_Cases'!I117="Not Implemented - Planned","1",IF('Self-Assessment_Cases'!I117="Not Implemented - Unplanned","1",".")))))))))</f>
        <v>.</v>
      </c>
      <c r="G117" s="75" t="s">
        <v>354</v>
      </c>
      <c r="H117" s="14"/>
      <c r="I117" s="92"/>
      <c r="J117" s="11"/>
      <c r="K117" s="75"/>
    </row>
    <row r="118" spans="1:11" s="79" customFormat="1" ht="56" x14ac:dyDescent="0.2">
      <c r="A118" s="73" t="s">
        <v>59</v>
      </c>
      <c r="B118" s="9"/>
      <c r="C118" s="89" t="s">
        <v>245</v>
      </c>
      <c r="D118" s="89" t="s">
        <v>1133</v>
      </c>
      <c r="E118" s="4" t="s">
        <v>58</v>
      </c>
      <c r="F118" s="8" t="str">
        <f>IF('Self-Assessment_Cases'!I118="Implemented","5",IF('Self-Assessment_Cases'!I118="In Progress - Administrative","3",IF('Self-Assessment_Cases'!I118="In Progress - Configuration","3",IF('Self-Assessment_Cases'!I118="In Progress - Installation/Upgrade","3",IF('Self-Assessment_Cases'!I118="Not Implemented - Compensating Control","5",IF('Self-Assessment_Cases'!I118="Not Implemented - Risk Negligible","5",IF('Self-Assessment_Cases'!I118="Not Implemented - Risk Accepted","1",IF('Self-Assessment_Cases'!I118="Not Implemented - Planned","1",IF('Self-Assessment_Cases'!I118="Not Implemented - Unplanned","1",".")))))))))</f>
        <v>.</v>
      </c>
      <c r="G118" s="75" t="s">
        <v>457</v>
      </c>
      <c r="H118" s="14"/>
      <c r="I118" s="92"/>
      <c r="J118" s="11"/>
      <c r="K118" s="75"/>
    </row>
    <row r="119" spans="1:11" s="79" customFormat="1" ht="42" x14ac:dyDescent="0.2">
      <c r="A119" s="73" t="s">
        <v>59</v>
      </c>
      <c r="B119" s="9"/>
      <c r="C119" s="89" t="s">
        <v>245</v>
      </c>
      <c r="D119" s="89" t="s">
        <v>784</v>
      </c>
      <c r="E119" s="4" t="s">
        <v>58</v>
      </c>
      <c r="F119" s="8" t="str">
        <f>IF('Self-Assessment_Cases'!I119="Implemented","5",IF('Self-Assessment_Cases'!I119="In Progress - Administrative","3",IF('Self-Assessment_Cases'!I119="In Progress - Configuration","3",IF('Self-Assessment_Cases'!I119="In Progress - Installation/Upgrade","3",IF('Self-Assessment_Cases'!I119="Not Implemented - Compensating Control","5",IF('Self-Assessment_Cases'!I119="Not Implemented - Risk Negligible","5",IF('Self-Assessment_Cases'!I119="Not Implemented - Risk Accepted","1",IF('Self-Assessment_Cases'!I119="Not Implemented - Planned","1",IF('Self-Assessment_Cases'!I119="Not Implemented - Unplanned","1",".")))))))))</f>
        <v>.</v>
      </c>
      <c r="G119" s="75" t="s">
        <v>456</v>
      </c>
      <c r="H119" s="14"/>
      <c r="I119" s="92"/>
      <c r="J119" s="11"/>
      <c r="K119" s="75"/>
    </row>
    <row r="120" spans="1:11" s="3" customFormat="1" ht="28" x14ac:dyDescent="0.2">
      <c r="A120" s="4" t="s">
        <v>61</v>
      </c>
      <c r="B120" s="9" t="s">
        <v>296</v>
      </c>
      <c r="C120" s="89" t="s">
        <v>246</v>
      </c>
      <c r="D120" s="89" t="s">
        <v>1134</v>
      </c>
      <c r="E120" s="4" t="s">
        <v>60</v>
      </c>
      <c r="F120" s="8" t="str">
        <f>IF('Self-Assessment_Cases'!I120="Implemented","5",IF('Self-Assessment_Cases'!I120="In Progress - Administrative","3",IF('Self-Assessment_Cases'!I120="In Progress - Configuration","3",IF('Self-Assessment_Cases'!I120="In Progress - Installation/Upgrade","3",IF('Self-Assessment_Cases'!I120="Not Implemented - Compensating Control","5",IF('Self-Assessment_Cases'!I120="Not Implemented - Risk Negligible","5",IF('Self-Assessment_Cases'!I120="Not Implemented - Risk Accepted","1",IF('Self-Assessment_Cases'!I120="Not Implemented - Planned","1",IF('Self-Assessment_Cases'!I120="Not Implemented - Unplanned","1",".")))))))))</f>
        <v>.</v>
      </c>
      <c r="G120" s="9" t="s">
        <v>1302</v>
      </c>
      <c r="H120" s="14"/>
      <c r="I120" s="92"/>
      <c r="J120" s="93"/>
      <c r="K120" s="85"/>
    </row>
    <row r="121" spans="1:11" s="3" customFormat="1" ht="28" x14ac:dyDescent="0.2">
      <c r="A121" s="4" t="s">
        <v>61</v>
      </c>
      <c r="B121" s="9" t="s">
        <v>296</v>
      </c>
      <c r="C121" s="89" t="s">
        <v>246</v>
      </c>
      <c r="D121" s="89" t="s">
        <v>785</v>
      </c>
      <c r="E121" s="4" t="s">
        <v>60</v>
      </c>
      <c r="F121" s="8" t="str">
        <f>IF('Self-Assessment_Cases'!I121="Implemented","5",IF('Self-Assessment_Cases'!I121="In Progress - Administrative","3",IF('Self-Assessment_Cases'!I121="In Progress - Configuration","3",IF('Self-Assessment_Cases'!I121="In Progress - Installation/Upgrade","3",IF('Self-Assessment_Cases'!I121="Not Implemented - Compensating Control","5",IF('Self-Assessment_Cases'!I121="Not Implemented - Risk Negligible","5",IF('Self-Assessment_Cases'!I121="Not Implemented - Risk Accepted","1",IF('Self-Assessment_Cases'!I121="Not Implemented - Planned","1",IF('Self-Assessment_Cases'!I121="Not Implemented - Unplanned","1",".")))))))))</f>
        <v>.</v>
      </c>
      <c r="G121" s="9" t="s">
        <v>1303</v>
      </c>
      <c r="H121" s="14"/>
      <c r="I121" s="92"/>
      <c r="J121" s="93"/>
      <c r="K121" s="85"/>
    </row>
    <row r="122" spans="1:11" s="3" customFormat="1" ht="28" x14ac:dyDescent="0.2">
      <c r="A122" s="4" t="s">
        <v>61</v>
      </c>
      <c r="B122" s="9" t="s">
        <v>296</v>
      </c>
      <c r="C122" s="89" t="s">
        <v>246</v>
      </c>
      <c r="D122" s="89" t="s">
        <v>868</v>
      </c>
      <c r="E122" s="4" t="s">
        <v>60</v>
      </c>
      <c r="F122" s="8" t="str">
        <f>IF('Self-Assessment_Cases'!I122="Implemented","5",IF('Self-Assessment_Cases'!I122="In Progress - Administrative","3",IF('Self-Assessment_Cases'!I122="In Progress - Configuration","3",IF('Self-Assessment_Cases'!I122="In Progress - Installation/Upgrade","3",IF('Self-Assessment_Cases'!I122="Not Implemented - Compensating Control","5",IF('Self-Assessment_Cases'!I122="Not Implemented - Risk Negligible","5",IF('Self-Assessment_Cases'!I122="Not Implemented - Risk Accepted","1",IF('Self-Assessment_Cases'!I122="Not Implemented - Planned","1",IF('Self-Assessment_Cases'!I122="Not Implemented - Unplanned","1",".")))))))))</f>
        <v>.</v>
      </c>
      <c r="G122" s="9" t="s">
        <v>1304</v>
      </c>
      <c r="H122" s="14"/>
      <c r="I122" s="92"/>
      <c r="J122" s="93"/>
      <c r="K122" s="85"/>
    </row>
    <row r="123" spans="1:11" s="3" customFormat="1" ht="28" x14ac:dyDescent="0.2">
      <c r="A123" s="4" t="s">
        <v>61</v>
      </c>
      <c r="B123" s="9" t="s">
        <v>296</v>
      </c>
      <c r="C123" s="89" t="s">
        <v>246</v>
      </c>
      <c r="D123" s="89" t="s">
        <v>933</v>
      </c>
      <c r="E123" s="4" t="s">
        <v>60</v>
      </c>
      <c r="F123" s="8" t="str">
        <f>IF('Self-Assessment_Cases'!I123="Implemented","5",IF('Self-Assessment_Cases'!I123="In Progress - Administrative","3",IF('Self-Assessment_Cases'!I123="In Progress - Configuration","3",IF('Self-Assessment_Cases'!I123="In Progress - Installation/Upgrade","3",IF('Self-Assessment_Cases'!I123="Not Implemented - Compensating Control","5",IF('Self-Assessment_Cases'!I123="Not Implemented - Risk Negligible","5",IF('Self-Assessment_Cases'!I123="Not Implemented - Risk Accepted","1",IF('Self-Assessment_Cases'!I123="Not Implemented - Planned","1",IF('Self-Assessment_Cases'!I123="Not Implemented - Unplanned","1",".")))))))))</f>
        <v>.</v>
      </c>
      <c r="G123" s="9" t="s">
        <v>1305</v>
      </c>
      <c r="H123" s="14"/>
      <c r="I123" s="92"/>
      <c r="J123" s="93"/>
      <c r="K123" s="85"/>
    </row>
    <row r="124" spans="1:11" s="3" customFormat="1" ht="28" x14ac:dyDescent="0.2">
      <c r="A124" s="4" t="s">
        <v>61</v>
      </c>
      <c r="B124" s="9" t="s">
        <v>296</v>
      </c>
      <c r="C124" s="89" t="s">
        <v>246</v>
      </c>
      <c r="D124" s="89" t="s">
        <v>982</v>
      </c>
      <c r="E124" s="4" t="s">
        <v>60</v>
      </c>
      <c r="F124" s="8" t="str">
        <f>IF('Self-Assessment_Cases'!I124="Implemented","5",IF('Self-Assessment_Cases'!I124="In Progress - Administrative","3",IF('Self-Assessment_Cases'!I124="In Progress - Configuration","3",IF('Self-Assessment_Cases'!I124="In Progress - Installation/Upgrade","3",IF('Self-Assessment_Cases'!I124="Not Implemented - Compensating Control","5",IF('Self-Assessment_Cases'!I124="Not Implemented - Risk Negligible","5",IF('Self-Assessment_Cases'!I124="Not Implemented - Risk Accepted","1",IF('Self-Assessment_Cases'!I124="Not Implemented - Planned","1",IF('Self-Assessment_Cases'!I124="Not Implemented - Unplanned","1",".")))))))))</f>
        <v>.</v>
      </c>
      <c r="G124" s="9" t="s">
        <v>1306</v>
      </c>
      <c r="H124" s="14"/>
      <c r="I124" s="92"/>
      <c r="J124" s="93"/>
      <c r="K124" s="85"/>
    </row>
    <row r="125" spans="1:11" s="3" customFormat="1" ht="28" x14ac:dyDescent="0.2">
      <c r="A125" s="4" t="s">
        <v>61</v>
      </c>
      <c r="B125" s="9" t="s">
        <v>296</v>
      </c>
      <c r="C125" s="89" t="s">
        <v>246</v>
      </c>
      <c r="D125" s="89" t="s">
        <v>1017</v>
      </c>
      <c r="E125" s="4" t="s">
        <v>60</v>
      </c>
      <c r="F125" s="8" t="str">
        <f>IF('Self-Assessment_Cases'!I125="Implemented","5",IF('Self-Assessment_Cases'!I125="In Progress - Administrative","3",IF('Self-Assessment_Cases'!I125="In Progress - Configuration","3",IF('Self-Assessment_Cases'!I125="In Progress - Installation/Upgrade","3",IF('Self-Assessment_Cases'!I125="Not Implemented - Compensating Control","5",IF('Self-Assessment_Cases'!I125="Not Implemented - Risk Negligible","5",IF('Self-Assessment_Cases'!I125="Not Implemented - Risk Accepted","1",IF('Self-Assessment_Cases'!I125="Not Implemented - Planned","1",IF('Self-Assessment_Cases'!I125="Not Implemented - Unplanned","1",".")))))))))</f>
        <v>.</v>
      </c>
      <c r="G125" s="9" t="s">
        <v>1307</v>
      </c>
      <c r="H125" s="14"/>
      <c r="I125" s="92"/>
      <c r="J125" s="93"/>
      <c r="K125" s="85"/>
    </row>
    <row r="126" spans="1:11" s="3" customFormat="1" ht="42" x14ac:dyDescent="0.2">
      <c r="A126" s="4" t="s">
        <v>61</v>
      </c>
      <c r="B126" s="9" t="s">
        <v>296</v>
      </c>
      <c r="C126" s="89" t="s">
        <v>246</v>
      </c>
      <c r="D126" s="89" t="s">
        <v>1043</v>
      </c>
      <c r="E126" s="4" t="s">
        <v>60</v>
      </c>
      <c r="F126" s="8" t="str">
        <f>IF('Self-Assessment_Cases'!I126="Implemented","5",IF('Self-Assessment_Cases'!I126="In Progress - Administrative","3",IF('Self-Assessment_Cases'!I126="In Progress - Configuration","3",IF('Self-Assessment_Cases'!I126="In Progress - Installation/Upgrade","3",IF('Self-Assessment_Cases'!I126="Not Implemented - Compensating Control","5",IF('Self-Assessment_Cases'!I126="Not Implemented - Risk Negligible","5",IF('Self-Assessment_Cases'!I126="Not Implemented - Risk Accepted","1",IF('Self-Assessment_Cases'!I126="Not Implemented - Planned","1",IF('Self-Assessment_Cases'!I126="Not Implemented - Unplanned","1",".")))))))))</f>
        <v>.</v>
      </c>
      <c r="G126" s="13" t="s">
        <v>1308</v>
      </c>
      <c r="H126" s="14"/>
      <c r="I126" s="92"/>
      <c r="J126" s="93"/>
      <c r="K126" s="85"/>
    </row>
    <row r="127" spans="1:11" s="3" customFormat="1" ht="56" x14ac:dyDescent="0.2">
      <c r="A127" s="4" t="s">
        <v>61</v>
      </c>
      <c r="B127" s="9" t="s">
        <v>296</v>
      </c>
      <c r="C127" s="89" t="s">
        <v>246</v>
      </c>
      <c r="D127" s="89" t="s">
        <v>1065</v>
      </c>
      <c r="E127" s="4" t="s">
        <v>60</v>
      </c>
      <c r="F127" s="8" t="str">
        <f>IF('Self-Assessment_Cases'!I127="Implemented","5",IF('Self-Assessment_Cases'!I127="In Progress - Administrative","3",IF('Self-Assessment_Cases'!I127="In Progress - Configuration","3",IF('Self-Assessment_Cases'!I127="In Progress - Installation/Upgrade","3",IF('Self-Assessment_Cases'!I127="Not Implemented - Compensating Control","5",IF('Self-Assessment_Cases'!I127="Not Implemented - Risk Negligible","5",IF('Self-Assessment_Cases'!I127="Not Implemented - Risk Accepted","1",IF('Self-Assessment_Cases'!I127="Not Implemented - Planned","1",IF('Self-Assessment_Cases'!I127="Not Implemented - Unplanned","1",".")))))))))</f>
        <v>.</v>
      </c>
      <c r="G127" s="13" t="s">
        <v>1309</v>
      </c>
      <c r="H127" s="14"/>
      <c r="I127" s="92"/>
      <c r="J127" s="93"/>
      <c r="K127" s="85"/>
    </row>
    <row r="128" spans="1:11" s="3" customFormat="1" ht="42" x14ac:dyDescent="0.2">
      <c r="A128" s="4" t="s">
        <v>61</v>
      </c>
      <c r="B128" s="9" t="s">
        <v>296</v>
      </c>
      <c r="C128" s="89" t="s">
        <v>246</v>
      </c>
      <c r="D128" s="89" t="s">
        <v>1085</v>
      </c>
      <c r="E128" s="4" t="s">
        <v>60</v>
      </c>
      <c r="F128" s="8" t="str">
        <f>IF('Self-Assessment_Cases'!I128="Implemented","5",IF('Self-Assessment_Cases'!I128="In Progress - Administrative","3",IF('Self-Assessment_Cases'!I128="In Progress - Configuration","3",IF('Self-Assessment_Cases'!I128="In Progress - Installation/Upgrade","3",IF('Self-Assessment_Cases'!I128="Not Implemented - Compensating Control","5",IF('Self-Assessment_Cases'!I128="Not Implemented - Risk Negligible","5",IF('Self-Assessment_Cases'!I128="Not Implemented - Risk Accepted","1",IF('Self-Assessment_Cases'!I128="Not Implemented - Planned","1",IF('Self-Assessment_Cases'!I128="Not Implemented - Unplanned","1",".")))))))))</f>
        <v>.</v>
      </c>
      <c r="G128" s="13" t="s">
        <v>389</v>
      </c>
      <c r="H128" s="14"/>
      <c r="I128" s="92"/>
      <c r="J128" s="93"/>
      <c r="K128" s="85"/>
    </row>
    <row r="129" spans="1:11" s="3" customFormat="1" ht="42" x14ac:dyDescent="0.2">
      <c r="A129" s="4" t="s">
        <v>61</v>
      </c>
      <c r="B129" s="9" t="s">
        <v>296</v>
      </c>
      <c r="C129" s="89" t="s">
        <v>246</v>
      </c>
      <c r="D129" s="89" t="s">
        <v>1300</v>
      </c>
      <c r="E129" s="4" t="s">
        <v>60</v>
      </c>
      <c r="F129" s="8" t="str">
        <f>IF('Self-Assessment_Cases'!I129="Implemented","5",IF('Self-Assessment_Cases'!I129="In Progress - Administrative","3",IF('Self-Assessment_Cases'!I129="In Progress - Configuration","3",IF('Self-Assessment_Cases'!I129="In Progress - Installation/Upgrade","3",IF('Self-Assessment_Cases'!I129="Not Implemented - Compensating Control","5",IF('Self-Assessment_Cases'!I129="Not Implemented - Risk Negligible","5",IF('Self-Assessment_Cases'!I129="Not Implemented - Risk Accepted","1",IF('Self-Assessment_Cases'!I129="Not Implemented - Planned","1",IF('Self-Assessment_Cases'!I129="Not Implemented - Unplanned","1",".")))))))))</f>
        <v>.</v>
      </c>
      <c r="G129" s="13" t="s">
        <v>390</v>
      </c>
      <c r="H129" s="14"/>
      <c r="I129" s="92"/>
      <c r="J129" s="93"/>
      <c r="K129" s="85"/>
    </row>
    <row r="130" spans="1:11" s="3" customFormat="1" ht="42" x14ac:dyDescent="0.2">
      <c r="A130" s="4" t="s">
        <v>79</v>
      </c>
      <c r="B130" s="9"/>
      <c r="C130" s="89" t="s">
        <v>247</v>
      </c>
      <c r="D130" s="89" t="s">
        <v>1135</v>
      </c>
      <c r="E130" s="4" t="s">
        <v>78</v>
      </c>
      <c r="F130" s="8" t="str">
        <f>IF('Self-Assessment_Cases'!I130="Implemented","5",IF('Self-Assessment_Cases'!I130="In Progress - Administrative","3",IF('Self-Assessment_Cases'!I130="In Progress - Configuration","3",IF('Self-Assessment_Cases'!I130="In Progress - Installation/Upgrade","3",IF('Self-Assessment_Cases'!I130="Not Implemented - Compensating Control","5",IF('Self-Assessment_Cases'!I130="Not Implemented - Risk Negligible","5",IF('Self-Assessment_Cases'!I130="Not Implemented - Risk Accepted","1",IF('Self-Assessment_Cases'!I130="Not Implemented - Planned","1",IF('Self-Assessment_Cases'!I130="Not Implemented - Unplanned","1",".")))))))))</f>
        <v>.</v>
      </c>
      <c r="G130" s="9" t="s">
        <v>622</v>
      </c>
      <c r="H130" s="14"/>
      <c r="I130" s="92"/>
      <c r="J130" s="14"/>
      <c r="K130" s="9"/>
    </row>
    <row r="131" spans="1:11" s="3" customFormat="1" ht="42" x14ac:dyDescent="0.2">
      <c r="A131" s="4" t="s">
        <v>79</v>
      </c>
      <c r="B131" s="9"/>
      <c r="C131" s="89" t="s">
        <v>247</v>
      </c>
      <c r="D131" s="89" t="s">
        <v>786</v>
      </c>
      <c r="E131" s="4" t="s">
        <v>78</v>
      </c>
      <c r="F131" s="8" t="str">
        <f>IF('Self-Assessment_Cases'!I131="Implemented","5",IF('Self-Assessment_Cases'!I131="In Progress - Administrative","3",IF('Self-Assessment_Cases'!I131="In Progress - Configuration","3",IF('Self-Assessment_Cases'!I131="In Progress - Installation/Upgrade","3",IF('Self-Assessment_Cases'!I131="Not Implemented - Compensating Control","5",IF('Self-Assessment_Cases'!I131="Not Implemented - Risk Negligible","5",IF('Self-Assessment_Cases'!I131="Not Implemented - Risk Accepted","1",IF('Self-Assessment_Cases'!I131="Not Implemented - Planned","1",IF('Self-Assessment_Cases'!I131="Not Implemented - Unplanned","1",".")))))))))</f>
        <v>.</v>
      </c>
      <c r="G131" s="9" t="s">
        <v>623</v>
      </c>
      <c r="H131" s="14"/>
      <c r="I131" s="92"/>
      <c r="J131" s="14"/>
      <c r="K131" s="9"/>
    </row>
    <row r="132" spans="1:11" s="3" customFormat="1" ht="56" x14ac:dyDescent="0.2">
      <c r="A132" s="4" t="s">
        <v>79</v>
      </c>
      <c r="B132" s="9"/>
      <c r="C132" s="89" t="s">
        <v>247</v>
      </c>
      <c r="D132" s="89" t="s">
        <v>869</v>
      </c>
      <c r="E132" s="4" t="s">
        <v>78</v>
      </c>
      <c r="F132" s="8" t="str">
        <f>IF('Self-Assessment_Cases'!I132="Implemented","5",IF('Self-Assessment_Cases'!I132="In Progress - Administrative","3",IF('Self-Assessment_Cases'!I132="In Progress - Configuration","3",IF('Self-Assessment_Cases'!I132="In Progress - Installation/Upgrade","3",IF('Self-Assessment_Cases'!I132="Not Implemented - Compensating Control","5",IF('Self-Assessment_Cases'!I132="Not Implemented - Risk Negligible","5",IF('Self-Assessment_Cases'!I132="Not Implemented - Risk Accepted","1",IF('Self-Assessment_Cases'!I132="Not Implemented - Planned","1",IF('Self-Assessment_Cases'!I132="Not Implemented - Unplanned","1",".")))))))))</f>
        <v>.</v>
      </c>
      <c r="G132" s="9" t="s">
        <v>624</v>
      </c>
      <c r="H132" s="14"/>
      <c r="I132" s="92"/>
      <c r="J132" s="14"/>
      <c r="K132" s="9"/>
    </row>
    <row r="133" spans="1:11" s="3" customFormat="1" ht="56" x14ac:dyDescent="0.2">
      <c r="A133" s="4" t="s">
        <v>81</v>
      </c>
      <c r="B133" s="9" t="s">
        <v>304</v>
      </c>
      <c r="C133" s="89" t="s">
        <v>247</v>
      </c>
      <c r="D133" s="89" t="s">
        <v>1136</v>
      </c>
      <c r="E133" s="4" t="s">
        <v>80</v>
      </c>
      <c r="F133" s="8" t="str">
        <f>IF('Self-Assessment_Cases'!I133="Implemented","5",IF('Self-Assessment_Cases'!I133="In Progress - Administrative","3",IF('Self-Assessment_Cases'!I133="In Progress - Configuration","3",IF('Self-Assessment_Cases'!I133="In Progress - Installation/Upgrade","3",IF('Self-Assessment_Cases'!I133="Not Implemented - Compensating Control","5",IF('Self-Assessment_Cases'!I133="Not Implemented - Risk Negligible","5",IF('Self-Assessment_Cases'!I133="Not Implemented - Risk Accepted","1",IF('Self-Assessment_Cases'!I133="Not Implemented - Planned","1",IF('Self-Assessment_Cases'!I133="Not Implemented - Unplanned","1",".")))))))))</f>
        <v>.</v>
      </c>
      <c r="G133" s="9" t="s">
        <v>577</v>
      </c>
      <c r="H133" s="14"/>
      <c r="I133" s="92"/>
      <c r="J133" s="14"/>
      <c r="K133" s="9"/>
    </row>
    <row r="134" spans="1:11" s="6" customFormat="1" ht="84" x14ac:dyDescent="0.2">
      <c r="A134" s="4" t="s">
        <v>81</v>
      </c>
      <c r="B134" s="9" t="s">
        <v>304</v>
      </c>
      <c r="C134" s="89" t="s">
        <v>247</v>
      </c>
      <c r="D134" s="89" t="s">
        <v>787</v>
      </c>
      <c r="E134" s="4" t="s">
        <v>80</v>
      </c>
      <c r="F134" s="8" t="str">
        <f>IF('Self-Assessment_Cases'!I134="Implemented","5",IF('Self-Assessment_Cases'!I134="In Progress - Administrative","3",IF('Self-Assessment_Cases'!I134="In Progress - Configuration","3",IF('Self-Assessment_Cases'!I134="In Progress - Installation/Upgrade","3",IF('Self-Assessment_Cases'!I134="Not Implemented - Compensating Control","5",IF('Self-Assessment_Cases'!I134="Not Implemented - Risk Negligible","5",IF('Self-Assessment_Cases'!I134="Not Implemented - Risk Accepted","1",IF('Self-Assessment_Cases'!I134="Not Implemented - Planned","1",IF('Self-Assessment_Cases'!I134="Not Implemented - Unplanned","1",".")))))))))</f>
        <v>.</v>
      </c>
      <c r="G134" s="9" t="s">
        <v>578</v>
      </c>
      <c r="H134" s="14"/>
      <c r="I134" s="92"/>
      <c r="J134" s="14"/>
      <c r="K134" s="9"/>
    </row>
    <row r="135" spans="1:11" s="6" customFormat="1" ht="56" x14ac:dyDescent="0.2">
      <c r="A135" s="4" t="s">
        <v>81</v>
      </c>
      <c r="B135" s="9" t="s">
        <v>304</v>
      </c>
      <c r="C135" s="89" t="s">
        <v>247</v>
      </c>
      <c r="D135" s="89" t="s">
        <v>870</v>
      </c>
      <c r="E135" s="4" t="s">
        <v>80</v>
      </c>
      <c r="F135" s="8" t="str">
        <f>IF('Self-Assessment_Cases'!I135="Implemented","5",IF('Self-Assessment_Cases'!I135="In Progress - Administrative","3",IF('Self-Assessment_Cases'!I135="In Progress - Configuration","3",IF('Self-Assessment_Cases'!I135="In Progress - Installation/Upgrade","3",IF('Self-Assessment_Cases'!I135="Not Implemented - Compensating Control","5",IF('Self-Assessment_Cases'!I135="Not Implemented - Risk Negligible","5",IF('Self-Assessment_Cases'!I135="Not Implemented - Risk Accepted","1",IF('Self-Assessment_Cases'!I135="Not Implemented - Planned","1",IF('Self-Assessment_Cases'!I135="Not Implemented - Unplanned","1",".")))))))))</f>
        <v>.</v>
      </c>
      <c r="G135" s="9" t="s">
        <v>579</v>
      </c>
      <c r="H135" s="14"/>
      <c r="I135" s="92"/>
      <c r="J135" s="14"/>
      <c r="K135" s="9"/>
    </row>
    <row r="136" spans="1:11" s="6" customFormat="1" ht="42" x14ac:dyDescent="0.2">
      <c r="A136" s="4" t="s">
        <v>81</v>
      </c>
      <c r="B136" s="9" t="s">
        <v>304</v>
      </c>
      <c r="C136" s="89" t="s">
        <v>247</v>
      </c>
      <c r="D136" s="89" t="s">
        <v>934</v>
      </c>
      <c r="E136" s="4" t="s">
        <v>80</v>
      </c>
      <c r="F136" s="8" t="str">
        <f>IF('Self-Assessment_Cases'!I136="Implemented","5",IF('Self-Assessment_Cases'!I136="In Progress - Administrative","3",IF('Self-Assessment_Cases'!I136="In Progress - Configuration","3",IF('Self-Assessment_Cases'!I136="In Progress - Installation/Upgrade","3",IF('Self-Assessment_Cases'!I136="Not Implemented - Compensating Control","5",IF('Self-Assessment_Cases'!I136="Not Implemented - Risk Negligible","5",IF('Self-Assessment_Cases'!I136="Not Implemented - Risk Accepted","1",IF('Self-Assessment_Cases'!I136="Not Implemented - Planned","1",IF('Self-Assessment_Cases'!I136="Not Implemented - Unplanned","1",".")))))))))</f>
        <v>.</v>
      </c>
      <c r="G136" s="9" t="s">
        <v>580</v>
      </c>
      <c r="H136" s="14"/>
      <c r="I136" s="92"/>
      <c r="J136" s="14"/>
      <c r="K136" s="9"/>
    </row>
    <row r="137" spans="1:11" s="6" customFormat="1" ht="42" x14ac:dyDescent="0.2">
      <c r="A137" s="4" t="s">
        <v>63</v>
      </c>
      <c r="B137" s="9" t="s">
        <v>295</v>
      </c>
      <c r="C137" s="89" t="s">
        <v>246</v>
      </c>
      <c r="D137" s="89" t="s">
        <v>1137</v>
      </c>
      <c r="E137" s="4" t="s">
        <v>62</v>
      </c>
      <c r="F137" s="8" t="str">
        <f>IF('Self-Assessment_Cases'!I137="Implemented","5",IF('Self-Assessment_Cases'!I137="In Progress - Administrative","3",IF('Self-Assessment_Cases'!I137="In Progress - Configuration","3",IF('Self-Assessment_Cases'!I137="In Progress - Installation/Upgrade","3",IF('Self-Assessment_Cases'!I137="Not Implemented - Compensating Control","5",IF('Self-Assessment_Cases'!I137="Not Implemented - Risk Negligible","5",IF('Self-Assessment_Cases'!I137="Not Implemented - Risk Accepted","1",IF('Self-Assessment_Cases'!I137="Not Implemented - Planned","1",IF('Self-Assessment_Cases'!I137="Not Implemented - Unplanned","1",".")))))))))</f>
        <v>.</v>
      </c>
      <c r="G137" s="9" t="s">
        <v>1457</v>
      </c>
      <c r="H137" s="14"/>
      <c r="I137" s="92"/>
      <c r="J137" s="93"/>
      <c r="K137" s="85"/>
    </row>
    <row r="138" spans="1:11" s="5" customFormat="1" ht="42" x14ac:dyDescent="0.2">
      <c r="A138" s="4" t="s">
        <v>65</v>
      </c>
      <c r="B138" s="9" t="s">
        <v>297</v>
      </c>
      <c r="C138" s="89" t="s">
        <v>246</v>
      </c>
      <c r="D138" s="89" t="s">
        <v>1138</v>
      </c>
      <c r="E138" s="4" t="s">
        <v>64</v>
      </c>
      <c r="F138" s="8" t="str">
        <f>IF('Self-Assessment_Cases'!I138="Implemented","5",IF('Self-Assessment_Cases'!I138="In Progress - Administrative","3",IF('Self-Assessment_Cases'!I138="In Progress - Configuration","3",IF('Self-Assessment_Cases'!I138="In Progress - Installation/Upgrade","3",IF('Self-Assessment_Cases'!I138="Not Implemented - Compensating Control","5",IF('Self-Assessment_Cases'!I138="Not Implemented - Risk Negligible","5",IF('Self-Assessment_Cases'!I138="Not Implemented - Risk Accepted","1",IF('Self-Assessment_Cases'!I138="Not Implemented - Planned","1",IF('Self-Assessment_Cases'!I138="Not Implemented - Unplanned","1",".")))))))))</f>
        <v>.</v>
      </c>
      <c r="G138" s="9" t="s">
        <v>526</v>
      </c>
      <c r="H138" s="14"/>
      <c r="I138" s="92"/>
      <c r="J138" s="93"/>
      <c r="K138" s="85"/>
    </row>
    <row r="139" spans="1:11" s="5" customFormat="1" ht="28" x14ac:dyDescent="0.2">
      <c r="A139" s="4" t="s">
        <v>65</v>
      </c>
      <c r="B139" s="9" t="s">
        <v>297</v>
      </c>
      <c r="C139" s="89" t="s">
        <v>246</v>
      </c>
      <c r="D139" s="89" t="s">
        <v>788</v>
      </c>
      <c r="E139" s="4" t="s">
        <v>64</v>
      </c>
      <c r="F139" s="8" t="str">
        <f>IF('Self-Assessment_Cases'!I139="Implemented","5",IF('Self-Assessment_Cases'!I139="In Progress - Administrative","3",IF('Self-Assessment_Cases'!I139="In Progress - Configuration","3",IF('Self-Assessment_Cases'!I139="In Progress - Installation/Upgrade","3",IF('Self-Assessment_Cases'!I139="Not Implemented - Compensating Control","5",IF('Self-Assessment_Cases'!I139="Not Implemented - Risk Negligible","5",IF('Self-Assessment_Cases'!I139="Not Implemented - Risk Accepted","1",IF('Self-Assessment_Cases'!I139="Not Implemented - Planned","1",IF('Self-Assessment_Cases'!I139="Not Implemented - Unplanned","1",".")))))))))</f>
        <v>.</v>
      </c>
      <c r="G139" s="9" t="s">
        <v>525</v>
      </c>
      <c r="H139" s="14"/>
      <c r="I139" s="92"/>
      <c r="J139" s="93"/>
      <c r="K139" s="85"/>
    </row>
    <row r="140" spans="1:11" s="5" customFormat="1" ht="28" x14ac:dyDescent="0.2">
      <c r="A140" s="4" t="s">
        <v>65</v>
      </c>
      <c r="B140" s="9" t="s">
        <v>297</v>
      </c>
      <c r="C140" s="89" t="s">
        <v>246</v>
      </c>
      <c r="D140" s="89" t="s">
        <v>871</v>
      </c>
      <c r="E140" s="4" t="s">
        <v>64</v>
      </c>
      <c r="F140" s="8" t="str">
        <f>IF('Self-Assessment_Cases'!I140="Implemented","5",IF('Self-Assessment_Cases'!I140="In Progress - Administrative","3",IF('Self-Assessment_Cases'!I140="In Progress - Configuration","3",IF('Self-Assessment_Cases'!I140="In Progress - Installation/Upgrade","3",IF('Self-Assessment_Cases'!I140="Not Implemented - Compensating Control","5",IF('Self-Assessment_Cases'!I140="Not Implemented - Risk Negligible","5",IF('Self-Assessment_Cases'!I140="Not Implemented - Risk Accepted","1",IF('Self-Assessment_Cases'!I140="Not Implemented - Planned","1",IF('Self-Assessment_Cases'!I140="Not Implemented - Unplanned","1",".")))))))))</f>
        <v>.</v>
      </c>
      <c r="G140" s="9" t="s">
        <v>524</v>
      </c>
      <c r="H140" s="14"/>
      <c r="I140" s="92"/>
      <c r="J140" s="93"/>
      <c r="K140" s="85"/>
    </row>
    <row r="141" spans="1:11" s="5" customFormat="1" ht="28" x14ac:dyDescent="0.2">
      <c r="A141" s="4" t="s">
        <v>65</v>
      </c>
      <c r="B141" s="9" t="s">
        <v>297</v>
      </c>
      <c r="C141" s="89" t="s">
        <v>246</v>
      </c>
      <c r="D141" s="89" t="s">
        <v>935</v>
      </c>
      <c r="E141" s="4" t="s">
        <v>64</v>
      </c>
      <c r="F141" s="8" t="str">
        <f>IF('Self-Assessment_Cases'!I141="Implemented","5",IF('Self-Assessment_Cases'!I141="In Progress - Administrative","3",IF('Self-Assessment_Cases'!I141="In Progress - Configuration","3",IF('Self-Assessment_Cases'!I141="In Progress - Installation/Upgrade","3",IF('Self-Assessment_Cases'!I141="Not Implemented - Compensating Control","5",IF('Self-Assessment_Cases'!I141="Not Implemented - Risk Negligible","5",IF('Self-Assessment_Cases'!I141="Not Implemented - Risk Accepted","1",IF('Self-Assessment_Cases'!I141="Not Implemented - Planned","1",IF('Self-Assessment_Cases'!I141="Not Implemented - Unplanned","1",".")))))))))</f>
        <v>.</v>
      </c>
      <c r="G141" s="9" t="s">
        <v>523</v>
      </c>
      <c r="H141" s="14"/>
      <c r="I141" s="92"/>
      <c r="J141" s="93"/>
      <c r="K141" s="85"/>
    </row>
    <row r="142" spans="1:11" s="5" customFormat="1" ht="56" x14ac:dyDescent="0.2">
      <c r="A142" s="4" t="s">
        <v>67</v>
      </c>
      <c r="B142" s="9" t="s">
        <v>298</v>
      </c>
      <c r="C142" s="89" t="s">
        <v>246</v>
      </c>
      <c r="D142" s="89" t="s">
        <v>1139</v>
      </c>
      <c r="E142" s="4" t="s">
        <v>66</v>
      </c>
      <c r="F142" s="8" t="str">
        <f>IF('Self-Assessment_Cases'!I142="Implemented","5",IF('Self-Assessment_Cases'!I142="In Progress - Administrative","3",IF('Self-Assessment_Cases'!I142="In Progress - Configuration","3",IF('Self-Assessment_Cases'!I142="In Progress - Installation/Upgrade","3",IF('Self-Assessment_Cases'!I142="Not Implemented - Compensating Control","5",IF('Self-Assessment_Cases'!I142="Not Implemented - Risk Negligible","5",IF('Self-Assessment_Cases'!I142="Not Implemented - Risk Accepted","1",IF('Self-Assessment_Cases'!I142="Not Implemented - Planned","1",IF('Self-Assessment_Cases'!I142="Not Implemented - Unplanned","1",".")))))))))</f>
        <v>.</v>
      </c>
      <c r="G142" s="9" t="s">
        <v>383</v>
      </c>
      <c r="H142" s="14"/>
      <c r="I142" s="92"/>
      <c r="J142" s="93"/>
      <c r="K142" s="85"/>
    </row>
    <row r="143" spans="1:11" s="5" customFormat="1" ht="56" x14ac:dyDescent="0.2">
      <c r="A143" s="4" t="s">
        <v>69</v>
      </c>
      <c r="B143" s="9" t="s">
        <v>299</v>
      </c>
      <c r="C143" s="89" t="s">
        <v>246</v>
      </c>
      <c r="D143" s="89" t="s">
        <v>1140</v>
      </c>
      <c r="E143" s="4" t="s">
        <v>68</v>
      </c>
      <c r="F143" s="8" t="str">
        <f>IF('Self-Assessment_Cases'!I143="Implemented","5",IF('Self-Assessment_Cases'!I143="In Progress - Administrative","3",IF('Self-Assessment_Cases'!I143="In Progress - Configuration","3",IF('Self-Assessment_Cases'!I143="In Progress - Installation/Upgrade","3",IF('Self-Assessment_Cases'!I143="Not Implemented - Compensating Control","5",IF('Self-Assessment_Cases'!I143="Not Implemented - Risk Negligible","5",IF('Self-Assessment_Cases'!I143="Not Implemented - Risk Accepted","1",IF('Self-Assessment_Cases'!I143="Not Implemented - Planned","1",IF('Self-Assessment_Cases'!I143="Not Implemented - Unplanned","1",".")))))))))</f>
        <v>.</v>
      </c>
      <c r="G143" s="9" t="s">
        <v>710</v>
      </c>
      <c r="H143" s="14"/>
      <c r="I143" s="92"/>
      <c r="J143" s="93"/>
      <c r="K143" s="85"/>
    </row>
    <row r="144" spans="1:11" s="5" customFormat="1" ht="42" x14ac:dyDescent="0.2">
      <c r="A144" s="4" t="s">
        <v>69</v>
      </c>
      <c r="B144" s="9" t="s">
        <v>299</v>
      </c>
      <c r="C144" s="89" t="s">
        <v>246</v>
      </c>
      <c r="D144" s="89" t="s">
        <v>789</v>
      </c>
      <c r="E144" s="4" t="s">
        <v>68</v>
      </c>
      <c r="F144" s="8" t="str">
        <f>IF('Self-Assessment_Cases'!I144="Implemented","5",IF('Self-Assessment_Cases'!I144="In Progress - Administrative","3",IF('Self-Assessment_Cases'!I144="In Progress - Configuration","3",IF('Self-Assessment_Cases'!I144="In Progress - Installation/Upgrade","3",IF('Self-Assessment_Cases'!I144="Not Implemented - Compensating Control","5",IF('Self-Assessment_Cases'!I144="Not Implemented - Risk Negligible","5",IF('Self-Assessment_Cases'!I144="Not Implemented - Risk Accepted","1",IF('Self-Assessment_Cases'!I144="Not Implemented - Planned","1",IF('Self-Assessment_Cases'!I144="Not Implemented - Unplanned","1",".")))))))))</f>
        <v>.</v>
      </c>
      <c r="G144" s="9" t="s">
        <v>486</v>
      </c>
      <c r="H144" s="14"/>
      <c r="I144" s="92"/>
      <c r="J144" s="93"/>
      <c r="K144" s="85"/>
    </row>
    <row r="145" spans="1:11" s="5" customFormat="1" ht="42" x14ac:dyDescent="0.2">
      <c r="A145" s="4" t="s">
        <v>71</v>
      </c>
      <c r="B145" s="9" t="s">
        <v>300</v>
      </c>
      <c r="C145" s="89" t="s">
        <v>247</v>
      </c>
      <c r="D145" s="89" t="s">
        <v>1141</v>
      </c>
      <c r="E145" s="4" t="s">
        <v>70</v>
      </c>
      <c r="F145" s="8" t="str">
        <f>IF('Self-Assessment_Cases'!I145="Implemented","5",IF('Self-Assessment_Cases'!I145="In Progress - Administrative","3",IF('Self-Assessment_Cases'!I145="In Progress - Configuration","3",IF('Self-Assessment_Cases'!I145="In Progress - Installation/Upgrade","3",IF('Self-Assessment_Cases'!I145="Not Implemented - Compensating Control","5",IF('Self-Assessment_Cases'!I145="Not Implemented - Risk Negligible","5",IF('Self-Assessment_Cases'!I145="Not Implemented - Risk Accepted","1",IF('Self-Assessment_Cases'!I145="Not Implemented - Planned","1",IF('Self-Assessment_Cases'!I145="Not Implemented - Unplanned","1",".")))))))))</f>
        <v>.</v>
      </c>
      <c r="G145" s="9" t="s">
        <v>615</v>
      </c>
      <c r="H145" s="14"/>
      <c r="I145" s="92"/>
      <c r="J145" s="14"/>
      <c r="K145" s="9"/>
    </row>
    <row r="146" spans="1:11" s="5" customFormat="1" ht="42" x14ac:dyDescent="0.2">
      <c r="A146" s="4" t="s">
        <v>71</v>
      </c>
      <c r="B146" s="9" t="s">
        <v>300</v>
      </c>
      <c r="C146" s="89" t="s">
        <v>247</v>
      </c>
      <c r="D146" s="89" t="s">
        <v>790</v>
      </c>
      <c r="E146" s="4" t="s">
        <v>70</v>
      </c>
      <c r="F146" s="8" t="str">
        <f>IF('Self-Assessment_Cases'!I146="Implemented","5",IF('Self-Assessment_Cases'!I146="In Progress - Administrative","3",IF('Self-Assessment_Cases'!I146="In Progress - Configuration","3",IF('Self-Assessment_Cases'!I146="In Progress - Installation/Upgrade","3",IF('Self-Assessment_Cases'!I146="Not Implemented - Compensating Control","5",IF('Self-Assessment_Cases'!I146="Not Implemented - Risk Negligible","5",IF('Self-Assessment_Cases'!I146="Not Implemented - Risk Accepted","1",IF('Self-Assessment_Cases'!I146="Not Implemented - Planned","1",IF('Self-Assessment_Cases'!I146="Not Implemented - Unplanned","1",".")))))))))</f>
        <v>.</v>
      </c>
      <c r="G146" s="9" t="s">
        <v>1425</v>
      </c>
      <c r="H146" s="14"/>
      <c r="I146" s="92"/>
      <c r="J146" s="14"/>
      <c r="K146" s="9"/>
    </row>
    <row r="147" spans="1:11" s="5" customFormat="1" ht="28" x14ac:dyDescent="0.2">
      <c r="A147" s="4" t="s">
        <v>71</v>
      </c>
      <c r="B147" s="9" t="s">
        <v>300</v>
      </c>
      <c r="C147" s="89" t="s">
        <v>247</v>
      </c>
      <c r="D147" s="89" t="s">
        <v>872</v>
      </c>
      <c r="E147" s="4" t="s">
        <v>70</v>
      </c>
      <c r="F147" s="8" t="str">
        <f>IF('Self-Assessment_Cases'!I147="Implemented","5",IF('Self-Assessment_Cases'!I147="In Progress - Administrative","3",IF('Self-Assessment_Cases'!I147="In Progress - Configuration","3",IF('Self-Assessment_Cases'!I147="In Progress - Installation/Upgrade","3",IF('Self-Assessment_Cases'!I147="Not Implemented - Compensating Control","5",IF('Self-Assessment_Cases'!I147="Not Implemented - Risk Negligible","5",IF('Self-Assessment_Cases'!I147="Not Implemented - Risk Accepted","1",IF('Self-Assessment_Cases'!I147="Not Implemented - Planned","1",IF('Self-Assessment_Cases'!I147="Not Implemented - Unplanned","1",".")))))))))</f>
        <v>.</v>
      </c>
      <c r="G147" s="9" t="s">
        <v>616</v>
      </c>
      <c r="H147" s="14"/>
      <c r="I147" s="92"/>
      <c r="J147" s="14"/>
      <c r="K147" s="9"/>
    </row>
    <row r="148" spans="1:11" s="6" customFormat="1" ht="28" x14ac:dyDescent="0.2">
      <c r="A148" s="4" t="s">
        <v>71</v>
      </c>
      <c r="B148" s="9" t="s">
        <v>300</v>
      </c>
      <c r="C148" s="89" t="s">
        <v>247</v>
      </c>
      <c r="D148" s="89" t="s">
        <v>936</v>
      </c>
      <c r="E148" s="4" t="s">
        <v>70</v>
      </c>
      <c r="F148" s="8" t="str">
        <f>IF('Self-Assessment_Cases'!I148="Implemented","5",IF('Self-Assessment_Cases'!I148="In Progress - Administrative","3",IF('Self-Assessment_Cases'!I148="In Progress - Configuration","3",IF('Self-Assessment_Cases'!I148="In Progress - Installation/Upgrade","3",IF('Self-Assessment_Cases'!I148="Not Implemented - Compensating Control","5",IF('Self-Assessment_Cases'!I148="Not Implemented - Risk Negligible","5",IF('Self-Assessment_Cases'!I148="Not Implemented - Risk Accepted","1",IF('Self-Assessment_Cases'!I148="Not Implemented - Planned","1",IF('Self-Assessment_Cases'!I148="Not Implemented - Unplanned","1",".")))))))))</f>
        <v>.</v>
      </c>
      <c r="G148" s="13" t="s">
        <v>617</v>
      </c>
      <c r="H148" s="14"/>
      <c r="I148" s="92"/>
      <c r="J148" s="14"/>
      <c r="K148" s="9"/>
    </row>
    <row r="149" spans="1:11" s="6" customFormat="1" ht="56" x14ac:dyDescent="0.2">
      <c r="A149" s="4" t="s">
        <v>73</v>
      </c>
      <c r="B149" s="9" t="s">
        <v>301</v>
      </c>
      <c r="C149" s="89" t="s">
        <v>246</v>
      </c>
      <c r="D149" s="89" t="s">
        <v>1142</v>
      </c>
      <c r="E149" s="4" t="s">
        <v>72</v>
      </c>
      <c r="F149" s="8" t="str">
        <f>IF('Self-Assessment_Cases'!I149="Implemented","5",IF('Self-Assessment_Cases'!I149="In Progress - Administrative","3",IF('Self-Assessment_Cases'!I149="In Progress - Configuration","3",IF('Self-Assessment_Cases'!I149="In Progress - Installation/Upgrade","3",IF('Self-Assessment_Cases'!I149="Not Implemented - Compensating Control","5",IF('Self-Assessment_Cases'!I149="Not Implemented - Risk Negligible","5",IF('Self-Assessment_Cases'!I149="Not Implemented - Risk Accepted","1",IF('Self-Assessment_Cases'!I149="Not Implemented - Planned","1",IF('Self-Assessment_Cases'!I149="Not Implemented - Unplanned","1",".")))))))))</f>
        <v>.</v>
      </c>
      <c r="G149" s="13" t="s">
        <v>500</v>
      </c>
      <c r="H149" s="14"/>
      <c r="I149" s="92"/>
      <c r="J149" s="93"/>
      <c r="K149" s="85"/>
    </row>
    <row r="150" spans="1:11" s="6" customFormat="1" ht="28" x14ac:dyDescent="0.2">
      <c r="A150" s="4" t="s">
        <v>73</v>
      </c>
      <c r="B150" s="9" t="s">
        <v>301</v>
      </c>
      <c r="C150" s="89" t="s">
        <v>246</v>
      </c>
      <c r="D150" s="89" t="s">
        <v>791</v>
      </c>
      <c r="E150" s="4" t="s">
        <v>72</v>
      </c>
      <c r="F150" s="8" t="str">
        <f>IF('Self-Assessment_Cases'!I150="Implemented","5",IF('Self-Assessment_Cases'!I150="In Progress - Administrative","3",IF('Self-Assessment_Cases'!I150="In Progress - Configuration","3",IF('Self-Assessment_Cases'!I150="In Progress - Installation/Upgrade","3",IF('Self-Assessment_Cases'!I150="Not Implemented - Compensating Control","5",IF('Self-Assessment_Cases'!I150="Not Implemented - Risk Negligible","5",IF('Self-Assessment_Cases'!I150="Not Implemented - Risk Accepted","1",IF('Self-Assessment_Cases'!I150="Not Implemented - Planned","1",IF('Self-Assessment_Cases'!I150="Not Implemented - Unplanned","1",".")))))))))</f>
        <v>.</v>
      </c>
      <c r="G150" s="13" t="s">
        <v>499</v>
      </c>
      <c r="H150" s="14"/>
      <c r="I150" s="92"/>
      <c r="J150" s="93"/>
      <c r="K150" s="85"/>
    </row>
    <row r="151" spans="1:11" s="6" customFormat="1" ht="42" x14ac:dyDescent="0.2">
      <c r="A151" s="4" t="s">
        <v>75</v>
      </c>
      <c r="B151" s="9" t="s">
        <v>302</v>
      </c>
      <c r="C151" s="89" t="s">
        <v>246</v>
      </c>
      <c r="D151" s="89" t="s">
        <v>1143</v>
      </c>
      <c r="E151" s="4" t="s">
        <v>74</v>
      </c>
      <c r="F151" s="8" t="str">
        <f>IF('Self-Assessment_Cases'!I151="Implemented","5",IF('Self-Assessment_Cases'!I151="In Progress - Administrative","3",IF('Self-Assessment_Cases'!I151="In Progress - Configuration","3",IF('Self-Assessment_Cases'!I151="In Progress - Installation/Upgrade","3",IF('Self-Assessment_Cases'!I151="Not Implemented - Compensating Control","5",IF('Self-Assessment_Cases'!I151="Not Implemented - Risk Negligible","5",IF('Self-Assessment_Cases'!I151="Not Implemented - Risk Accepted","1",IF('Self-Assessment_Cases'!I151="Not Implemented - Planned","1",IF('Self-Assessment_Cases'!I151="Not Implemented - Unplanned","1",".")))))))))</f>
        <v>.</v>
      </c>
      <c r="G151" s="13" t="s">
        <v>487</v>
      </c>
      <c r="H151" s="14"/>
      <c r="I151" s="92"/>
      <c r="J151" s="93"/>
      <c r="K151" s="85"/>
    </row>
    <row r="152" spans="1:11" s="6" customFormat="1" ht="28" x14ac:dyDescent="0.2">
      <c r="A152" s="4" t="s">
        <v>75</v>
      </c>
      <c r="B152" s="9" t="s">
        <v>302</v>
      </c>
      <c r="C152" s="89" t="s">
        <v>246</v>
      </c>
      <c r="D152" s="89" t="s">
        <v>792</v>
      </c>
      <c r="E152" s="4" t="s">
        <v>74</v>
      </c>
      <c r="F152" s="8" t="str">
        <f>IF('Self-Assessment_Cases'!I152="Implemented","5",IF('Self-Assessment_Cases'!I152="In Progress - Administrative","3",IF('Self-Assessment_Cases'!I152="In Progress - Configuration","3",IF('Self-Assessment_Cases'!I152="In Progress - Installation/Upgrade","3",IF('Self-Assessment_Cases'!I152="Not Implemented - Compensating Control","5",IF('Self-Assessment_Cases'!I152="Not Implemented - Risk Negligible","5",IF('Self-Assessment_Cases'!I152="Not Implemented - Risk Accepted","1",IF('Self-Assessment_Cases'!I152="Not Implemented - Planned","1",IF('Self-Assessment_Cases'!I152="Not Implemented - Unplanned","1",".")))))))))</f>
        <v>.</v>
      </c>
      <c r="G152" s="13" t="s">
        <v>488</v>
      </c>
      <c r="H152" s="14"/>
      <c r="I152" s="92"/>
      <c r="J152" s="93"/>
      <c r="K152" s="85"/>
    </row>
    <row r="153" spans="1:11" s="6" customFormat="1" ht="42" x14ac:dyDescent="0.2">
      <c r="A153" s="4" t="s">
        <v>77</v>
      </c>
      <c r="B153" s="9" t="s">
        <v>303</v>
      </c>
      <c r="C153" s="89" t="s">
        <v>247</v>
      </c>
      <c r="D153" s="89" t="s">
        <v>1144</v>
      </c>
      <c r="E153" s="4" t="s">
        <v>76</v>
      </c>
      <c r="F153" s="8" t="str">
        <f>IF('Self-Assessment_Cases'!I153="Implemented","5",IF('Self-Assessment_Cases'!I153="In Progress - Administrative","3",IF('Self-Assessment_Cases'!I153="In Progress - Configuration","3",IF('Self-Assessment_Cases'!I153="In Progress - Installation/Upgrade","3",IF('Self-Assessment_Cases'!I153="Not Implemented - Compensating Control","5",IF('Self-Assessment_Cases'!I153="Not Implemented - Risk Negligible","5",IF('Self-Assessment_Cases'!I153="Not Implemented - Risk Accepted","1",IF('Self-Assessment_Cases'!I153="Not Implemented - Planned","1",IF('Self-Assessment_Cases'!I153="Not Implemented - Unplanned","1",".")))))))))</f>
        <v>.</v>
      </c>
      <c r="G153" s="13" t="s">
        <v>618</v>
      </c>
      <c r="H153" s="14"/>
      <c r="I153" s="92"/>
      <c r="J153" s="14"/>
      <c r="K153" s="9"/>
    </row>
    <row r="154" spans="1:11" s="6" customFormat="1" ht="42" x14ac:dyDescent="0.2">
      <c r="A154" s="4" t="s">
        <v>77</v>
      </c>
      <c r="B154" s="9" t="s">
        <v>303</v>
      </c>
      <c r="C154" s="89" t="s">
        <v>247</v>
      </c>
      <c r="D154" s="89" t="s">
        <v>793</v>
      </c>
      <c r="E154" s="4" t="s">
        <v>76</v>
      </c>
      <c r="F154" s="8" t="str">
        <f>IF('Self-Assessment_Cases'!I154="Implemented","5",IF('Self-Assessment_Cases'!I154="In Progress - Administrative","3",IF('Self-Assessment_Cases'!I154="In Progress - Configuration","3",IF('Self-Assessment_Cases'!I154="In Progress - Installation/Upgrade","3",IF('Self-Assessment_Cases'!I154="Not Implemented - Compensating Control","5",IF('Self-Assessment_Cases'!I154="Not Implemented - Risk Negligible","5",IF('Self-Assessment_Cases'!I154="Not Implemented - Risk Accepted","1",IF('Self-Assessment_Cases'!I154="Not Implemented - Planned","1",IF('Self-Assessment_Cases'!I154="Not Implemented - Unplanned","1",".")))))))))</f>
        <v>.</v>
      </c>
      <c r="G154" s="13" t="s">
        <v>619</v>
      </c>
      <c r="H154" s="14"/>
      <c r="I154" s="92"/>
      <c r="J154" s="14"/>
      <c r="K154" s="9"/>
    </row>
    <row r="155" spans="1:11" s="6" customFormat="1" ht="28" x14ac:dyDescent="0.2">
      <c r="A155" s="4" t="s">
        <v>77</v>
      </c>
      <c r="B155" s="9" t="s">
        <v>303</v>
      </c>
      <c r="C155" s="89" t="s">
        <v>247</v>
      </c>
      <c r="D155" s="89" t="s">
        <v>873</v>
      </c>
      <c r="E155" s="4" t="s">
        <v>76</v>
      </c>
      <c r="F155" s="8" t="str">
        <f>IF('Self-Assessment_Cases'!I155="Implemented","5",IF('Self-Assessment_Cases'!I155="In Progress - Administrative","3",IF('Self-Assessment_Cases'!I155="In Progress - Configuration","3",IF('Self-Assessment_Cases'!I155="In Progress - Installation/Upgrade","3",IF('Self-Assessment_Cases'!I155="Not Implemented - Compensating Control","5",IF('Self-Assessment_Cases'!I155="Not Implemented - Risk Negligible","5",IF('Self-Assessment_Cases'!I155="Not Implemented - Risk Accepted","1",IF('Self-Assessment_Cases'!I155="Not Implemented - Planned","1",IF('Self-Assessment_Cases'!I155="Not Implemented - Unplanned","1",".")))))))))</f>
        <v>.</v>
      </c>
      <c r="G155" s="13" t="s">
        <v>620</v>
      </c>
      <c r="H155" s="14"/>
      <c r="I155" s="92"/>
      <c r="J155" s="14"/>
      <c r="K155" s="9"/>
    </row>
    <row r="156" spans="1:11" s="6" customFormat="1" ht="56" x14ac:dyDescent="0.2">
      <c r="A156" s="4" t="s">
        <v>77</v>
      </c>
      <c r="B156" s="9" t="s">
        <v>303</v>
      </c>
      <c r="C156" s="89" t="s">
        <v>247</v>
      </c>
      <c r="D156" s="89" t="s">
        <v>937</v>
      </c>
      <c r="E156" s="4" t="s">
        <v>76</v>
      </c>
      <c r="F156" s="8" t="str">
        <f>IF('Self-Assessment_Cases'!I156="Implemented","5",IF('Self-Assessment_Cases'!I156="In Progress - Administrative","3",IF('Self-Assessment_Cases'!I156="In Progress - Configuration","3",IF('Self-Assessment_Cases'!I156="In Progress - Installation/Upgrade","3",IF('Self-Assessment_Cases'!I156="Not Implemented - Compensating Control","5",IF('Self-Assessment_Cases'!I156="Not Implemented - Risk Negligible","5",IF('Self-Assessment_Cases'!I156="Not Implemented - Risk Accepted","1",IF('Self-Assessment_Cases'!I156="Not Implemented - Planned","1",IF('Self-Assessment_Cases'!I156="Not Implemented - Unplanned","1",".")))))))))</f>
        <v>.</v>
      </c>
      <c r="G156" s="13" t="s">
        <v>621</v>
      </c>
      <c r="H156" s="14"/>
      <c r="I156" s="92"/>
      <c r="J156" s="14"/>
      <c r="K156" s="9"/>
    </row>
    <row r="157" spans="1:11" s="6" customFormat="1" ht="28" x14ac:dyDescent="0.2">
      <c r="A157" s="4" t="s">
        <v>83</v>
      </c>
      <c r="B157" s="9" t="s">
        <v>293</v>
      </c>
      <c r="C157" s="89" t="s">
        <v>247</v>
      </c>
      <c r="D157" s="89" t="s">
        <v>1145</v>
      </c>
      <c r="E157" s="4" t="s">
        <v>82</v>
      </c>
      <c r="F157" s="8" t="str">
        <f>IF('Self-Assessment_Cases'!I157="Implemented","5",IF('Self-Assessment_Cases'!I157="In Progress - Administrative","3",IF('Self-Assessment_Cases'!I157="In Progress - Configuration","3",IF('Self-Assessment_Cases'!I157="In Progress - Installation/Upgrade","3",IF('Self-Assessment_Cases'!I157="Not Implemented - Compensating Control","5",IF('Self-Assessment_Cases'!I157="Not Implemented - Risk Negligible","5",IF('Self-Assessment_Cases'!I157="Not Implemented - Risk Accepted","1",IF('Self-Assessment_Cases'!I157="Not Implemented - Planned","1",IF('Self-Assessment_Cases'!I157="Not Implemented - Unplanned","1",".")))))))))</f>
        <v>.</v>
      </c>
      <c r="G157" s="13" t="s">
        <v>1310</v>
      </c>
      <c r="H157" s="14"/>
      <c r="I157" s="92"/>
      <c r="J157" s="14"/>
      <c r="K157" s="9"/>
    </row>
    <row r="158" spans="1:11" s="6" customFormat="1" ht="28" x14ac:dyDescent="0.2">
      <c r="A158" s="4" t="s">
        <v>83</v>
      </c>
      <c r="B158" s="9" t="s">
        <v>293</v>
      </c>
      <c r="C158" s="89" t="s">
        <v>247</v>
      </c>
      <c r="D158" s="89" t="s">
        <v>794</v>
      </c>
      <c r="E158" s="4" t="s">
        <v>82</v>
      </c>
      <c r="F158" s="8" t="str">
        <f>IF('Self-Assessment_Cases'!I158="Implemented","5",IF('Self-Assessment_Cases'!I158="In Progress - Administrative","3",IF('Self-Assessment_Cases'!I158="In Progress - Configuration","3",IF('Self-Assessment_Cases'!I158="In Progress - Installation/Upgrade","3",IF('Self-Assessment_Cases'!I158="Not Implemented - Compensating Control","5",IF('Self-Assessment_Cases'!I158="Not Implemented - Risk Negligible","5",IF('Self-Assessment_Cases'!I158="Not Implemented - Risk Accepted","1",IF('Self-Assessment_Cases'!I158="Not Implemented - Planned","1",IF('Self-Assessment_Cases'!I158="Not Implemented - Unplanned","1",".")))))))))</f>
        <v>.</v>
      </c>
      <c r="G158" s="13" t="s">
        <v>1311</v>
      </c>
      <c r="H158" s="14"/>
      <c r="I158" s="92"/>
      <c r="J158" s="14"/>
      <c r="K158" s="9"/>
    </row>
    <row r="159" spans="1:11" s="6" customFormat="1" ht="28" x14ac:dyDescent="0.2">
      <c r="A159" s="4" t="s">
        <v>83</v>
      </c>
      <c r="B159" s="9" t="s">
        <v>293</v>
      </c>
      <c r="C159" s="89" t="s">
        <v>247</v>
      </c>
      <c r="D159" s="89" t="s">
        <v>874</v>
      </c>
      <c r="E159" s="4" t="s">
        <v>82</v>
      </c>
      <c r="F159" s="8" t="str">
        <f>IF('Self-Assessment_Cases'!I159="Implemented","5",IF('Self-Assessment_Cases'!I159="In Progress - Administrative","3",IF('Self-Assessment_Cases'!I159="In Progress - Configuration","3",IF('Self-Assessment_Cases'!I159="In Progress - Installation/Upgrade","3",IF('Self-Assessment_Cases'!I159="Not Implemented - Compensating Control","5",IF('Self-Assessment_Cases'!I159="Not Implemented - Risk Negligible","5",IF('Self-Assessment_Cases'!I159="Not Implemented - Risk Accepted","1",IF('Self-Assessment_Cases'!I159="Not Implemented - Planned","1",IF('Self-Assessment_Cases'!I159="Not Implemented - Unplanned","1",".")))))))))</f>
        <v>.</v>
      </c>
      <c r="G159" s="13" t="s">
        <v>1312</v>
      </c>
      <c r="H159" s="14"/>
      <c r="I159" s="92"/>
      <c r="J159" s="14"/>
      <c r="K159" s="9"/>
    </row>
    <row r="160" spans="1:11" s="6" customFormat="1" ht="28" x14ac:dyDescent="0.2">
      <c r="A160" s="4" t="s">
        <v>83</v>
      </c>
      <c r="B160" s="9" t="s">
        <v>293</v>
      </c>
      <c r="C160" s="89" t="s">
        <v>247</v>
      </c>
      <c r="D160" s="89" t="s">
        <v>938</v>
      </c>
      <c r="E160" s="4" t="s">
        <v>82</v>
      </c>
      <c r="F160" s="8" t="str">
        <f>IF('Self-Assessment_Cases'!I160="Implemented","5",IF('Self-Assessment_Cases'!I160="In Progress - Administrative","3",IF('Self-Assessment_Cases'!I160="In Progress - Configuration","3",IF('Self-Assessment_Cases'!I160="In Progress - Installation/Upgrade","3",IF('Self-Assessment_Cases'!I160="Not Implemented - Compensating Control","5",IF('Self-Assessment_Cases'!I160="Not Implemented - Risk Negligible","5",IF('Self-Assessment_Cases'!I160="Not Implemented - Risk Accepted","1",IF('Self-Assessment_Cases'!I160="Not Implemented - Planned","1",IF('Self-Assessment_Cases'!I160="Not Implemented - Unplanned","1",".")))))))))</f>
        <v>.</v>
      </c>
      <c r="G160" s="13" t="s">
        <v>1313</v>
      </c>
      <c r="H160" s="14"/>
      <c r="I160" s="92"/>
      <c r="J160" s="14"/>
      <c r="K160" s="9"/>
    </row>
    <row r="161" spans="1:11" s="6" customFormat="1" ht="28" x14ac:dyDescent="0.2">
      <c r="A161" s="4" t="s">
        <v>83</v>
      </c>
      <c r="B161" s="9" t="s">
        <v>293</v>
      </c>
      <c r="C161" s="89" t="s">
        <v>247</v>
      </c>
      <c r="D161" s="89" t="s">
        <v>983</v>
      </c>
      <c r="E161" s="4" t="s">
        <v>82</v>
      </c>
      <c r="F161" s="8" t="str">
        <f>IF('Self-Assessment_Cases'!I161="Implemented","5",IF('Self-Assessment_Cases'!I161="In Progress - Administrative","3",IF('Self-Assessment_Cases'!I161="In Progress - Configuration","3",IF('Self-Assessment_Cases'!I161="In Progress - Installation/Upgrade","3",IF('Self-Assessment_Cases'!I161="Not Implemented - Compensating Control","5",IF('Self-Assessment_Cases'!I161="Not Implemented - Risk Negligible","5",IF('Self-Assessment_Cases'!I161="Not Implemented - Risk Accepted","1",IF('Self-Assessment_Cases'!I161="Not Implemented - Planned","1",IF('Self-Assessment_Cases'!I161="Not Implemented - Unplanned","1",".")))))))))</f>
        <v>.</v>
      </c>
      <c r="G161" s="9" t="s">
        <v>1314</v>
      </c>
      <c r="H161" s="14"/>
      <c r="I161" s="92"/>
      <c r="J161" s="14"/>
      <c r="K161" s="9"/>
    </row>
    <row r="162" spans="1:11" s="6" customFormat="1" ht="28" x14ac:dyDescent="0.2">
      <c r="A162" s="4" t="s">
        <v>83</v>
      </c>
      <c r="B162" s="9" t="s">
        <v>293</v>
      </c>
      <c r="C162" s="89" t="s">
        <v>247</v>
      </c>
      <c r="D162" s="89" t="s">
        <v>1018</v>
      </c>
      <c r="E162" s="4" t="s">
        <v>82</v>
      </c>
      <c r="F162" s="8" t="str">
        <f>IF('Self-Assessment_Cases'!I162="Implemented","5",IF('Self-Assessment_Cases'!I162="In Progress - Administrative","3",IF('Self-Assessment_Cases'!I162="In Progress - Configuration","3",IF('Self-Assessment_Cases'!I162="In Progress - Installation/Upgrade","3",IF('Self-Assessment_Cases'!I162="Not Implemented - Compensating Control","5",IF('Self-Assessment_Cases'!I162="Not Implemented - Risk Negligible","5",IF('Self-Assessment_Cases'!I162="Not Implemented - Risk Accepted","1",IF('Self-Assessment_Cases'!I162="Not Implemented - Planned","1",IF('Self-Assessment_Cases'!I162="Not Implemented - Unplanned","1",".")))))))))</f>
        <v>.</v>
      </c>
      <c r="G162" s="9" t="s">
        <v>1315</v>
      </c>
      <c r="H162" s="14"/>
      <c r="I162" s="92"/>
      <c r="J162" s="14"/>
      <c r="K162" s="9"/>
    </row>
    <row r="163" spans="1:11" s="6" customFormat="1" ht="42" x14ac:dyDescent="0.2">
      <c r="A163" s="4" t="s">
        <v>83</v>
      </c>
      <c r="B163" s="9" t="s">
        <v>293</v>
      </c>
      <c r="C163" s="89" t="s">
        <v>247</v>
      </c>
      <c r="D163" s="89" t="s">
        <v>1044</v>
      </c>
      <c r="E163" s="4" t="s">
        <v>82</v>
      </c>
      <c r="F163" s="8" t="str">
        <f>IF('Self-Assessment_Cases'!I163="Implemented","5",IF('Self-Assessment_Cases'!I163="In Progress - Administrative","3",IF('Self-Assessment_Cases'!I163="In Progress - Configuration","3",IF('Self-Assessment_Cases'!I163="In Progress - Installation/Upgrade","3",IF('Self-Assessment_Cases'!I163="Not Implemented - Compensating Control","5",IF('Self-Assessment_Cases'!I163="Not Implemented - Risk Negligible","5",IF('Self-Assessment_Cases'!I163="Not Implemented - Risk Accepted","1",IF('Self-Assessment_Cases'!I163="Not Implemented - Planned","1",IF('Self-Assessment_Cases'!I163="Not Implemented - Unplanned","1",".")))))))))</f>
        <v>.</v>
      </c>
      <c r="G163" s="9" t="s">
        <v>1316</v>
      </c>
      <c r="H163" s="14"/>
      <c r="I163" s="92"/>
      <c r="J163" s="14"/>
      <c r="K163" s="9"/>
    </row>
    <row r="164" spans="1:11" s="6" customFormat="1" ht="42" x14ac:dyDescent="0.2">
      <c r="A164" s="4" t="s">
        <v>83</v>
      </c>
      <c r="B164" s="9" t="s">
        <v>293</v>
      </c>
      <c r="C164" s="89" t="s">
        <v>247</v>
      </c>
      <c r="D164" s="89" t="s">
        <v>1066</v>
      </c>
      <c r="E164" s="4" t="s">
        <v>82</v>
      </c>
      <c r="F164" s="8" t="str">
        <f>IF('Self-Assessment_Cases'!I164="Implemented","5",IF('Self-Assessment_Cases'!I164="In Progress - Administrative","3",IF('Self-Assessment_Cases'!I164="In Progress - Configuration","3",IF('Self-Assessment_Cases'!I164="In Progress - Installation/Upgrade","3",IF('Self-Assessment_Cases'!I164="Not Implemented - Compensating Control","5",IF('Self-Assessment_Cases'!I164="Not Implemented - Risk Negligible","5",IF('Self-Assessment_Cases'!I164="Not Implemented - Risk Accepted","1",IF('Self-Assessment_Cases'!I164="Not Implemented - Planned","1",IF('Self-Assessment_Cases'!I164="Not Implemented - Unplanned","1",".")))))))))</f>
        <v>.</v>
      </c>
      <c r="G164" s="9" t="s">
        <v>1317</v>
      </c>
      <c r="H164" s="14"/>
      <c r="I164" s="92"/>
      <c r="J164" s="14"/>
      <c r="K164" s="9"/>
    </row>
    <row r="165" spans="1:11" s="6" customFormat="1" ht="42" x14ac:dyDescent="0.2">
      <c r="A165" s="4" t="s">
        <v>83</v>
      </c>
      <c r="B165" s="9" t="s">
        <v>293</v>
      </c>
      <c r="C165" s="89" t="s">
        <v>247</v>
      </c>
      <c r="D165" s="89" t="s">
        <v>1086</v>
      </c>
      <c r="E165" s="4" t="s">
        <v>82</v>
      </c>
      <c r="F165" s="8" t="str">
        <f>IF('Self-Assessment_Cases'!I165="Implemented","5",IF('Self-Assessment_Cases'!I165="In Progress - Administrative","3",IF('Self-Assessment_Cases'!I165="In Progress - Configuration","3",IF('Self-Assessment_Cases'!I165="In Progress - Installation/Upgrade","3",IF('Self-Assessment_Cases'!I165="Not Implemented - Compensating Control","5",IF('Self-Assessment_Cases'!I165="Not Implemented - Risk Negligible","5",IF('Self-Assessment_Cases'!I165="Not Implemented - Risk Accepted","1",IF('Self-Assessment_Cases'!I165="Not Implemented - Planned","1",IF('Self-Assessment_Cases'!I165="Not Implemented - Unplanned","1",".")))))))))</f>
        <v>.</v>
      </c>
      <c r="G165" s="9" t="s">
        <v>389</v>
      </c>
      <c r="H165" s="14"/>
      <c r="I165" s="92"/>
      <c r="J165" s="14"/>
      <c r="K165" s="9"/>
    </row>
    <row r="166" spans="1:11" s="6" customFormat="1" ht="42" x14ac:dyDescent="0.2">
      <c r="A166" s="4" t="s">
        <v>83</v>
      </c>
      <c r="B166" s="9" t="s">
        <v>293</v>
      </c>
      <c r="C166" s="89" t="s">
        <v>247</v>
      </c>
      <c r="D166" s="89" t="s">
        <v>1301</v>
      </c>
      <c r="E166" s="4" t="s">
        <v>82</v>
      </c>
      <c r="F166" s="8" t="str">
        <f>IF('Self-Assessment_Cases'!I166="Implemented","5",IF('Self-Assessment_Cases'!I166="In Progress - Administrative","3",IF('Self-Assessment_Cases'!I166="In Progress - Configuration","3",IF('Self-Assessment_Cases'!I166="In Progress - Installation/Upgrade","3",IF('Self-Assessment_Cases'!I166="Not Implemented - Compensating Control","5",IF('Self-Assessment_Cases'!I166="Not Implemented - Risk Negligible","5",IF('Self-Assessment_Cases'!I166="Not Implemented - Risk Accepted","1",IF('Self-Assessment_Cases'!I166="Not Implemented - Planned","1",IF('Self-Assessment_Cases'!I166="Not Implemented - Unplanned","1",".")))))))))</f>
        <v>.</v>
      </c>
      <c r="G166" s="9" t="s">
        <v>390</v>
      </c>
      <c r="H166" s="14"/>
      <c r="I166" s="92"/>
      <c r="J166" s="14"/>
      <c r="K166" s="9"/>
    </row>
    <row r="167" spans="1:11" s="6" customFormat="1" ht="56" x14ac:dyDescent="0.2">
      <c r="A167" s="4" t="s">
        <v>85</v>
      </c>
      <c r="B167" s="9" t="s">
        <v>294</v>
      </c>
      <c r="C167" s="89" t="s">
        <v>247</v>
      </c>
      <c r="D167" s="89" t="s">
        <v>1146</v>
      </c>
      <c r="E167" s="4" t="s">
        <v>84</v>
      </c>
      <c r="F167" s="8" t="str">
        <f>IF('Self-Assessment_Cases'!I167="Implemented","5",IF('Self-Assessment_Cases'!I167="In Progress - Administrative","3",IF('Self-Assessment_Cases'!I167="In Progress - Configuration","3",IF('Self-Assessment_Cases'!I167="In Progress - Installation/Upgrade","3",IF('Self-Assessment_Cases'!I167="Not Implemented - Compensating Control","5",IF('Self-Assessment_Cases'!I167="Not Implemented - Risk Negligible","5",IF('Self-Assessment_Cases'!I167="Not Implemented - Risk Accepted","1",IF('Self-Assessment_Cases'!I167="Not Implemented - Planned","1",IF('Self-Assessment_Cases'!I167="Not Implemented - Unplanned","1",".")))))))))</f>
        <v>.</v>
      </c>
      <c r="G167" s="9" t="s">
        <v>711</v>
      </c>
      <c r="H167" s="14"/>
      <c r="I167" s="92"/>
      <c r="J167" s="14"/>
      <c r="K167" s="9"/>
    </row>
    <row r="168" spans="1:11" s="6" customFormat="1" ht="42" x14ac:dyDescent="0.2">
      <c r="A168" s="4" t="s">
        <v>85</v>
      </c>
      <c r="B168" s="9" t="s">
        <v>294</v>
      </c>
      <c r="C168" s="89" t="s">
        <v>247</v>
      </c>
      <c r="D168" s="89" t="s">
        <v>795</v>
      </c>
      <c r="E168" s="4" t="s">
        <v>84</v>
      </c>
      <c r="F168" s="8" t="str">
        <f>IF('Self-Assessment_Cases'!I168="Implemented","5",IF('Self-Assessment_Cases'!I168="In Progress - Administrative","3",IF('Self-Assessment_Cases'!I168="In Progress - Configuration","3",IF('Self-Assessment_Cases'!I168="In Progress - Installation/Upgrade","3",IF('Self-Assessment_Cases'!I168="Not Implemented - Compensating Control","5",IF('Self-Assessment_Cases'!I168="Not Implemented - Risk Negligible","5",IF('Self-Assessment_Cases'!I168="Not Implemented - Risk Accepted","1",IF('Self-Assessment_Cases'!I168="Not Implemented - Planned","1",IF('Self-Assessment_Cases'!I168="Not Implemented - Unplanned","1",".")))))))))</f>
        <v>.</v>
      </c>
      <c r="G168" s="9" t="s">
        <v>646</v>
      </c>
      <c r="H168" s="14"/>
      <c r="I168" s="92"/>
      <c r="J168" s="14"/>
      <c r="K168" s="9"/>
    </row>
    <row r="169" spans="1:11" s="5" customFormat="1" ht="28" x14ac:dyDescent="0.2">
      <c r="A169" s="4" t="s">
        <v>85</v>
      </c>
      <c r="B169" s="9" t="s">
        <v>294</v>
      </c>
      <c r="C169" s="89" t="s">
        <v>247</v>
      </c>
      <c r="D169" s="89" t="s">
        <v>875</v>
      </c>
      <c r="E169" s="4" t="s">
        <v>84</v>
      </c>
      <c r="F169" s="8" t="str">
        <f>IF('Self-Assessment_Cases'!I169="Implemented","5",IF('Self-Assessment_Cases'!I169="In Progress - Administrative","3",IF('Self-Assessment_Cases'!I169="In Progress - Configuration","3",IF('Self-Assessment_Cases'!I169="In Progress - Installation/Upgrade","3",IF('Self-Assessment_Cases'!I169="Not Implemented - Compensating Control","5",IF('Self-Assessment_Cases'!I169="Not Implemented - Risk Negligible","5",IF('Self-Assessment_Cases'!I169="Not Implemented - Risk Accepted","1",IF('Self-Assessment_Cases'!I169="Not Implemented - Planned","1",IF('Self-Assessment_Cases'!I169="Not Implemented - Unplanned","1",".")))))))))</f>
        <v>.</v>
      </c>
      <c r="G169" s="9" t="s">
        <v>647</v>
      </c>
      <c r="H169" s="14"/>
      <c r="I169" s="92"/>
      <c r="J169" s="14"/>
      <c r="K169" s="9"/>
    </row>
    <row r="170" spans="1:11" s="5" customFormat="1" ht="42" x14ac:dyDescent="0.2">
      <c r="A170" s="4" t="s">
        <v>85</v>
      </c>
      <c r="B170" s="9" t="s">
        <v>294</v>
      </c>
      <c r="C170" s="89" t="s">
        <v>247</v>
      </c>
      <c r="D170" s="89" t="s">
        <v>939</v>
      </c>
      <c r="E170" s="4" t="s">
        <v>84</v>
      </c>
      <c r="F170" s="8" t="str">
        <f>IF('Self-Assessment_Cases'!I170="Implemented","5",IF('Self-Assessment_Cases'!I170="In Progress - Administrative","3",IF('Self-Assessment_Cases'!I170="In Progress - Configuration","3",IF('Self-Assessment_Cases'!I170="In Progress - Installation/Upgrade","3",IF('Self-Assessment_Cases'!I170="Not Implemented - Compensating Control","5",IF('Self-Assessment_Cases'!I170="Not Implemented - Risk Negligible","5",IF('Self-Assessment_Cases'!I170="Not Implemented - Risk Accepted","1",IF('Self-Assessment_Cases'!I170="Not Implemented - Planned","1",IF('Self-Assessment_Cases'!I170="Not Implemented - Unplanned","1",".")))))))))</f>
        <v>.</v>
      </c>
      <c r="G170" s="9" t="s">
        <v>648</v>
      </c>
      <c r="H170" s="14"/>
      <c r="I170" s="92"/>
      <c r="J170" s="14"/>
      <c r="K170" s="9"/>
    </row>
    <row r="171" spans="1:11" s="5" customFormat="1" ht="42" x14ac:dyDescent="0.2">
      <c r="A171" s="4" t="s">
        <v>85</v>
      </c>
      <c r="B171" s="9" t="s">
        <v>294</v>
      </c>
      <c r="C171" s="89" t="s">
        <v>247</v>
      </c>
      <c r="D171" s="89" t="s">
        <v>984</v>
      </c>
      <c r="E171" s="4" t="s">
        <v>84</v>
      </c>
      <c r="F171" s="8" t="str">
        <f>IF('Self-Assessment_Cases'!I171="Implemented","5",IF('Self-Assessment_Cases'!I171="In Progress - Administrative","3",IF('Self-Assessment_Cases'!I171="In Progress - Configuration","3",IF('Self-Assessment_Cases'!I171="In Progress - Installation/Upgrade","3",IF('Self-Assessment_Cases'!I171="Not Implemented - Compensating Control","5",IF('Self-Assessment_Cases'!I171="Not Implemented - Risk Negligible","5",IF('Self-Assessment_Cases'!I171="Not Implemented - Risk Accepted","1",IF('Self-Assessment_Cases'!I171="Not Implemented - Planned","1",IF('Self-Assessment_Cases'!I171="Not Implemented - Unplanned","1",".")))))))))</f>
        <v>.</v>
      </c>
      <c r="G171" s="9" t="s">
        <v>649</v>
      </c>
      <c r="H171" s="14"/>
      <c r="I171" s="92"/>
      <c r="J171" s="14"/>
      <c r="K171" s="9"/>
    </row>
    <row r="172" spans="1:11" s="79" customFormat="1" ht="42" x14ac:dyDescent="0.2">
      <c r="A172" s="72" t="s">
        <v>87</v>
      </c>
      <c r="B172" s="9" t="s">
        <v>316</v>
      </c>
      <c r="C172" s="89" t="s">
        <v>245</v>
      </c>
      <c r="D172" s="89" t="s">
        <v>1147</v>
      </c>
      <c r="E172" s="4" t="s">
        <v>86</v>
      </c>
      <c r="F172" s="8" t="str">
        <f>IF('Self-Assessment_Cases'!I172="Implemented","5",IF('Self-Assessment_Cases'!I172="In Progress - Administrative","3",IF('Self-Assessment_Cases'!I172="In Progress - Configuration","3",IF('Self-Assessment_Cases'!I172="In Progress - Installation/Upgrade","3",IF('Self-Assessment_Cases'!I172="Not Implemented - Compensating Control","5",IF('Self-Assessment_Cases'!I172="Not Implemented - Risk Negligible","5",IF('Self-Assessment_Cases'!I172="Not Implemented - Risk Accepted","1",IF('Self-Assessment_Cases'!I172="Not Implemented - Planned","1",IF('Self-Assessment_Cases'!I172="Not Implemented - Unplanned","1",".")))))))))</f>
        <v>.</v>
      </c>
      <c r="G172" s="80" t="s">
        <v>1318</v>
      </c>
      <c r="H172" s="14"/>
      <c r="I172" s="92"/>
      <c r="J172" s="11"/>
      <c r="K172" s="75"/>
    </row>
    <row r="173" spans="1:11" s="79" customFormat="1" ht="42" x14ac:dyDescent="0.2">
      <c r="A173" s="72" t="s">
        <v>87</v>
      </c>
      <c r="B173" s="9" t="s">
        <v>316</v>
      </c>
      <c r="C173" s="89" t="s">
        <v>245</v>
      </c>
      <c r="D173" s="89" t="s">
        <v>796</v>
      </c>
      <c r="E173" s="4" t="s">
        <v>86</v>
      </c>
      <c r="F173" s="8" t="str">
        <f>IF('Self-Assessment_Cases'!I173="Implemented","5",IF('Self-Assessment_Cases'!I173="In Progress - Administrative","3",IF('Self-Assessment_Cases'!I173="In Progress - Configuration","3",IF('Self-Assessment_Cases'!I173="In Progress - Installation/Upgrade","3",IF('Self-Assessment_Cases'!I173="Not Implemented - Compensating Control","5",IF('Self-Assessment_Cases'!I173="Not Implemented - Risk Negligible","5",IF('Self-Assessment_Cases'!I173="Not Implemented - Risk Accepted","1",IF('Self-Assessment_Cases'!I173="Not Implemented - Planned","1",IF('Self-Assessment_Cases'!I173="Not Implemented - Unplanned","1",".")))))))))</f>
        <v>.</v>
      </c>
      <c r="G173" s="75" t="s">
        <v>1319</v>
      </c>
      <c r="H173" s="14"/>
      <c r="I173" s="92"/>
      <c r="J173" s="11"/>
      <c r="K173" s="75"/>
    </row>
    <row r="174" spans="1:11" s="79" customFormat="1" ht="42" x14ac:dyDescent="0.2">
      <c r="A174" s="72" t="s">
        <v>87</v>
      </c>
      <c r="B174" s="9" t="s">
        <v>316</v>
      </c>
      <c r="C174" s="89" t="s">
        <v>245</v>
      </c>
      <c r="D174" s="89" t="s">
        <v>876</v>
      </c>
      <c r="E174" s="4" t="s">
        <v>86</v>
      </c>
      <c r="F174" s="8" t="str">
        <f>IF('Self-Assessment_Cases'!I174="Implemented","5",IF('Self-Assessment_Cases'!I174="In Progress - Administrative","3",IF('Self-Assessment_Cases'!I174="In Progress - Configuration","3",IF('Self-Assessment_Cases'!I174="In Progress - Installation/Upgrade","3",IF('Self-Assessment_Cases'!I174="Not Implemented - Compensating Control","5",IF('Self-Assessment_Cases'!I174="Not Implemented - Risk Negligible","5",IF('Self-Assessment_Cases'!I174="Not Implemented - Risk Accepted","1",IF('Self-Assessment_Cases'!I174="Not Implemented - Planned","1",IF('Self-Assessment_Cases'!I174="Not Implemented - Unplanned","1",".")))))))))</f>
        <v>.</v>
      </c>
      <c r="G174" s="75" t="s">
        <v>1320</v>
      </c>
      <c r="H174" s="14"/>
      <c r="I174" s="92"/>
      <c r="J174" s="11"/>
      <c r="K174" s="75"/>
    </row>
    <row r="175" spans="1:11" s="79" customFormat="1" ht="42" x14ac:dyDescent="0.2">
      <c r="A175" s="72" t="s">
        <v>87</v>
      </c>
      <c r="B175" s="9" t="s">
        <v>316</v>
      </c>
      <c r="C175" s="89" t="s">
        <v>245</v>
      </c>
      <c r="D175" s="89" t="s">
        <v>940</v>
      </c>
      <c r="E175" s="4" t="s">
        <v>86</v>
      </c>
      <c r="F175" s="8" t="str">
        <f>IF('Self-Assessment_Cases'!I175="Implemented","5",IF('Self-Assessment_Cases'!I175="In Progress - Administrative","3",IF('Self-Assessment_Cases'!I175="In Progress - Configuration","3",IF('Self-Assessment_Cases'!I175="In Progress - Installation/Upgrade","3",IF('Self-Assessment_Cases'!I175="Not Implemented - Compensating Control","5",IF('Self-Assessment_Cases'!I175="Not Implemented - Risk Negligible","5",IF('Self-Assessment_Cases'!I175="Not Implemented - Risk Accepted","1",IF('Self-Assessment_Cases'!I175="Not Implemented - Planned","1",IF('Self-Assessment_Cases'!I175="Not Implemented - Unplanned","1",".")))))))))</f>
        <v>.</v>
      </c>
      <c r="G175" s="75" t="s">
        <v>1321</v>
      </c>
      <c r="H175" s="14"/>
      <c r="I175" s="92"/>
      <c r="J175" s="11"/>
      <c r="K175" s="75"/>
    </row>
    <row r="176" spans="1:11" s="79" customFormat="1" ht="42" x14ac:dyDescent="0.2">
      <c r="A176" s="72" t="s">
        <v>87</v>
      </c>
      <c r="B176" s="9" t="s">
        <v>316</v>
      </c>
      <c r="C176" s="89" t="s">
        <v>245</v>
      </c>
      <c r="D176" s="89" t="s">
        <v>985</v>
      </c>
      <c r="E176" s="4" t="s">
        <v>86</v>
      </c>
      <c r="F176" s="8" t="str">
        <f>IF('Self-Assessment_Cases'!I176="Implemented","5",IF('Self-Assessment_Cases'!I176="In Progress - Administrative","3",IF('Self-Assessment_Cases'!I176="In Progress - Configuration","3",IF('Self-Assessment_Cases'!I176="In Progress - Installation/Upgrade","3",IF('Self-Assessment_Cases'!I176="Not Implemented - Compensating Control","5",IF('Self-Assessment_Cases'!I176="Not Implemented - Risk Negligible","5",IF('Self-Assessment_Cases'!I176="Not Implemented - Risk Accepted","1",IF('Self-Assessment_Cases'!I176="Not Implemented - Planned","1",IF('Self-Assessment_Cases'!I176="Not Implemented - Unplanned","1",".")))))))))</f>
        <v>.</v>
      </c>
      <c r="G176" s="75" t="s">
        <v>1322</v>
      </c>
      <c r="H176" s="14"/>
      <c r="I176" s="92"/>
      <c r="J176" s="11"/>
      <c r="K176" s="75"/>
    </row>
    <row r="177" spans="1:11" s="79" customFormat="1" ht="42" x14ac:dyDescent="0.2">
      <c r="A177" s="72" t="s">
        <v>87</v>
      </c>
      <c r="B177" s="9" t="s">
        <v>316</v>
      </c>
      <c r="C177" s="89" t="s">
        <v>245</v>
      </c>
      <c r="D177" s="89" t="s">
        <v>1019</v>
      </c>
      <c r="E177" s="4" t="s">
        <v>86</v>
      </c>
      <c r="F177" s="8" t="str">
        <f>IF('Self-Assessment_Cases'!I177="Implemented","5",IF('Self-Assessment_Cases'!I177="In Progress - Administrative","3",IF('Self-Assessment_Cases'!I177="In Progress - Configuration","3",IF('Self-Assessment_Cases'!I177="In Progress - Installation/Upgrade","3",IF('Self-Assessment_Cases'!I177="Not Implemented - Compensating Control","5",IF('Self-Assessment_Cases'!I177="Not Implemented - Risk Negligible","5",IF('Self-Assessment_Cases'!I177="Not Implemented - Risk Accepted","1",IF('Self-Assessment_Cases'!I177="Not Implemented - Planned","1",IF('Self-Assessment_Cases'!I177="Not Implemented - Unplanned","1",".")))))))))</f>
        <v>.</v>
      </c>
      <c r="G177" s="75" t="s">
        <v>1323</v>
      </c>
      <c r="H177" s="14"/>
      <c r="I177" s="92"/>
      <c r="J177" s="11"/>
      <c r="K177" s="75"/>
    </row>
    <row r="178" spans="1:11" s="79" customFormat="1" ht="42" x14ac:dyDescent="0.2">
      <c r="A178" s="72" t="s">
        <v>87</v>
      </c>
      <c r="B178" s="9" t="s">
        <v>316</v>
      </c>
      <c r="C178" s="89" t="s">
        <v>245</v>
      </c>
      <c r="D178" s="89" t="s">
        <v>1045</v>
      </c>
      <c r="E178" s="4" t="s">
        <v>86</v>
      </c>
      <c r="F178" s="8" t="str">
        <f>IF('Self-Assessment_Cases'!I178="Implemented","5",IF('Self-Assessment_Cases'!I178="In Progress - Administrative","3",IF('Self-Assessment_Cases'!I178="In Progress - Configuration","3",IF('Self-Assessment_Cases'!I178="In Progress - Installation/Upgrade","3",IF('Self-Assessment_Cases'!I178="Not Implemented - Compensating Control","5",IF('Self-Assessment_Cases'!I178="Not Implemented - Risk Negligible","5",IF('Self-Assessment_Cases'!I178="Not Implemented - Risk Accepted","1",IF('Self-Assessment_Cases'!I178="Not Implemented - Planned","1",IF('Self-Assessment_Cases'!I178="Not Implemented - Unplanned","1",".")))))))))</f>
        <v>.</v>
      </c>
      <c r="G178" s="75" t="s">
        <v>1324</v>
      </c>
      <c r="H178" s="14"/>
      <c r="I178" s="92"/>
      <c r="J178" s="11"/>
      <c r="K178" s="75"/>
    </row>
    <row r="179" spans="1:11" s="79" customFormat="1" ht="56" x14ac:dyDescent="0.2">
      <c r="A179" s="72" t="s">
        <v>87</v>
      </c>
      <c r="B179" s="9" t="s">
        <v>316</v>
      </c>
      <c r="C179" s="89" t="s">
        <v>245</v>
      </c>
      <c r="D179" s="89" t="s">
        <v>1067</v>
      </c>
      <c r="E179" s="4" t="s">
        <v>86</v>
      </c>
      <c r="F179" s="8" t="str">
        <f>IF('Self-Assessment_Cases'!I179="Implemented","5",IF('Self-Assessment_Cases'!I179="In Progress - Administrative","3",IF('Self-Assessment_Cases'!I179="In Progress - Configuration","3",IF('Self-Assessment_Cases'!I179="In Progress - Installation/Upgrade","3",IF('Self-Assessment_Cases'!I179="Not Implemented - Compensating Control","5",IF('Self-Assessment_Cases'!I179="Not Implemented - Risk Negligible","5",IF('Self-Assessment_Cases'!I179="Not Implemented - Risk Accepted","1",IF('Self-Assessment_Cases'!I179="Not Implemented - Planned","1",IF('Self-Assessment_Cases'!I179="Not Implemented - Unplanned","1",".")))))))))</f>
        <v>.</v>
      </c>
      <c r="G179" s="75" t="s">
        <v>1325</v>
      </c>
      <c r="H179" s="14"/>
      <c r="I179" s="92"/>
      <c r="J179" s="11"/>
      <c r="K179" s="75"/>
    </row>
    <row r="180" spans="1:11" s="79" customFormat="1" ht="42" x14ac:dyDescent="0.2">
      <c r="A180" s="72" t="s">
        <v>87</v>
      </c>
      <c r="B180" s="9" t="s">
        <v>316</v>
      </c>
      <c r="C180" s="89" t="s">
        <v>245</v>
      </c>
      <c r="D180" s="89" t="s">
        <v>1087</v>
      </c>
      <c r="E180" s="4" t="s">
        <v>86</v>
      </c>
      <c r="F180" s="8" t="str">
        <f>IF('Self-Assessment_Cases'!I180="Implemented","5",IF('Self-Assessment_Cases'!I180="In Progress - Administrative","3",IF('Self-Assessment_Cases'!I180="In Progress - Configuration","3",IF('Self-Assessment_Cases'!I180="In Progress - Installation/Upgrade","3",IF('Self-Assessment_Cases'!I180="Not Implemented - Compensating Control","5",IF('Self-Assessment_Cases'!I180="Not Implemented - Risk Negligible","5",IF('Self-Assessment_Cases'!I180="Not Implemented - Risk Accepted","1",IF('Self-Assessment_Cases'!I180="Not Implemented - Planned","1",IF('Self-Assessment_Cases'!I180="Not Implemented - Unplanned","1",".")))))))))</f>
        <v>.</v>
      </c>
      <c r="G180" s="75" t="s">
        <v>389</v>
      </c>
      <c r="H180" s="14"/>
      <c r="I180" s="92"/>
      <c r="J180" s="11"/>
      <c r="K180" s="75"/>
    </row>
    <row r="181" spans="1:11" s="79" customFormat="1" ht="42" x14ac:dyDescent="0.2">
      <c r="A181" s="72" t="s">
        <v>87</v>
      </c>
      <c r="B181" s="9" t="s">
        <v>316</v>
      </c>
      <c r="C181" s="89" t="s">
        <v>245</v>
      </c>
      <c r="D181" s="89" t="s">
        <v>1326</v>
      </c>
      <c r="E181" s="4" t="s">
        <v>86</v>
      </c>
      <c r="F181" s="8" t="str">
        <f>IF('Self-Assessment_Cases'!I181="Implemented","5",IF('Self-Assessment_Cases'!I181="In Progress - Administrative","3",IF('Self-Assessment_Cases'!I181="In Progress - Configuration","3",IF('Self-Assessment_Cases'!I181="In Progress - Installation/Upgrade","3",IF('Self-Assessment_Cases'!I181="Not Implemented - Compensating Control","5",IF('Self-Assessment_Cases'!I181="Not Implemented - Risk Negligible","5",IF('Self-Assessment_Cases'!I181="Not Implemented - Risk Accepted","1",IF('Self-Assessment_Cases'!I181="Not Implemented - Planned","1",IF('Self-Assessment_Cases'!I181="Not Implemented - Unplanned","1",".")))))))))</f>
        <v>.</v>
      </c>
      <c r="G181" s="75" t="s">
        <v>390</v>
      </c>
      <c r="H181" s="14"/>
      <c r="I181" s="92"/>
      <c r="J181" s="11"/>
      <c r="K181" s="75"/>
    </row>
    <row r="182" spans="1:11" s="108" customFormat="1" ht="56" x14ac:dyDescent="0.2">
      <c r="A182" s="10" t="s">
        <v>273</v>
      </c>
      <c r="B182" s="9"/>
      <c r="C182" s="112" t="s">
        <v>246</v>
      </c>
      <c r="D182" s="113" t="s">
        <v>1148</v>
      </c>
      <c r="E182" s="10" t="s">
        <v>224</v>
      </c>
      <c r="F182" s="107" t="str">
        <f>IF('Self-Assessment_Cases'!I182="Implemented","5",IF('Self-Assessment_Cases'!I182="In Progress - Administrative","3",IF('Self-Assessment_Cases'!I182="In Progress - Configuration","3",IF('Self-Assessment_Cases'!I182="In Progress - Installation/Upgrade","3",IF('Self-Assessment_Cases'!I182="Not Implemented - Compensating Control","5",IF('Self-Assessment_Cases'!I182="Not Implemented - Risk Negligible","5",IF('Self-Assessment_Cases'!I182="Not Implemented - Risk Accepted","1",IF('Self-Assessment_Cases'!I182="Not Implemented - Planned","1",IF('Self-Assessment_Cases'!I182="Not Implemented - Unplanned","1",".")))))))))</f>
        <v>.</v>
      </c>
      <c r="G182" s="9" t="s">
        <v>359</v>
      </c>
      <c r="H182" s="10" t="s">
        <v>1241</v>
      </c>
      <c r="I182" s="92"/>
      <c r="J182" s="109"/>
      <c r="K182" s="9"/>
    </row>
    <row r="183" spans="1:11" s="5" customFormat="1" ht="42" x14ac:dyDescent="0.2">
      <c r="A183" s="4" t="s">
        <v>271</v>
      </c>
      <c r="B183" s="9"/>
      <c r="C183" s="89" t="s">
        <v>246</v>
      </c>
      <c r="D183" s="88" t="s">
        <v>1149</v>
      </c>
      <c r="E183" s="4" t="s">
        <v>225</v>
      </c>
      <c r="F183" s="8" t="str">
        <f>IF('Self-Assessment_Cases'!I183="Implemented","5",IF('Self-Assessment_Cases'!I183="In Progress - Administrative","3",IF('Self-Assessment_Cases'!I183="In Progress - Configuration","3",IF('Self-Assessment_Cases'!I183="In Progress - Installation/Upgrade","3",IF('Self-Assessment_Cases'!I183="Not Implemented - Compensating Control","5",IF('Self-Assessment_Cases'!I183="Not Implemented - Risk Negligible","5",IF('Self-Assessment_Cases'!I183="Not Implemented - Risk Accepted","1",IF('Self-Assessment_Cases'!I183="Not Implemented - Planned","1",IF('Self-Assessment_Cases'!I183="Not Implemented - Unplanned","1",".")))))))))</f>
        <v>.</v>
      </c>
      <c r="G183" s="9" t="s">
        <v>356</v>
      </c>
      <c r="H183" s="14"/>
      <c r="I183" s="92"/>
      <c r="J183" s="93"/>
      <c r="K183" s="85"/>
    </row>
    <row r="184" spans="1:11" s="81" customFormat="1" ht="56" x14ac:dyDescent="0.2">
      <c r="A184" s="72" t="s">
        <v>89</v>
      </c>
      <c r="B184" s="9" t="s">
        <v>338</v>
      </c>
      <c r="C184" s="89" t="s">
        <v>245</v>
      </c>
      <c r="D184" s="89" t="s">
        <v>1150</v>
      </c>
      <c r="E184" s="4" t="s">
        <v>88</v>
      </c>
      <c r="F184" s="8" t="str">
        <f>IF('Self-Assessment_Cases'!I184="Implemented","5",IF('Self-Assessment_Cases'!I184="In Progress - Administrative","3",IF('Self-Assessment_Cases'!I184="In Progress - Configuration","3",IF('Self-Assessment_Cases'!I184="In Progress - Installation/Upgrade","3",IF('Self-Assessment_Cases'!I184="Not Implemented - Compensating Control","5",IF('Self-Assessment_Cases'!I184="Not Implemented - Risk Negligible","5",IF('Self-Assessment_Cases'!I184="Not Implemented - Risk Accepted","1",IF('Self-Assessment_Cases'!I184="Not Implemented - Planned","1",IF('Self-Assessment_Cases'!I184="Not Implemented - Unplanned","1",".")))))))))</f>
        <v>.</v>
      </c>
      <c r="G184" s="75" t="s">
        <v>418</v>
      </c>
      <c r="H184" s="14"/>
      <c r="I184" s="92"/>
      <c r="J184" s="11"/>
      <c r="K184" s="75"/>
    </row>
    <row r="185" spans="1:11" s="81" customFormat="1" ht="56" x14ac:dyDescent="0.2">
      <c r="A185" s="72" t="s">
        <v>89</v>
      </c>
      <c r="B185" s="9" t="s">
        <v>338</v>
      </c>
      <c r="C185" s="89" t="s">
        <v>245</v>
      </c>
      <c r="D185" s="89" t="s">
        <v>797</v>
      </c>
      <c r="E185" s="4" t="s">
        <v>88</v>
      </c>
      <c r="F185" s="8" t="str">
        <f>IF('Self-Assessment_Cases'!I185="Implemented","5",IF('Self-Assessment_Cases'!I185="In Progress - Administrative","3",IF('Self-Assessment_Cases'!I185="In Progress - Configuration","3",IF('Self-Assessment_Cases'!I185="In Progress - Installation/Upgrade","3",IF('Self-Assessment_Cases'!I185="Not Implemented - Compensating Control","5",IF('Self-Assessment_Cases'!I185="Not Implemented - Risk Negligible","5",IF('Self-Assessment_Cases'!I185="Not Implemented - Risk Accepted","1",IF('Self-Assessment_Cases'!I185="Not Implemented - Planned","1",IF('Self-Assessment_Cases'!I185="Not Implemented - Unplanned","1",".")))))))))</f>
        <v>.</v>
      </c>
      <c r="G185" s="75" t="s">
        <v>417</v>
      </c>
      <c r="H185" s="14"/>
      <c r="I185" s="92"/>
      <c r="J185" s="11"/>
      <c r="K185" s="75"/>
    </row>
    <row r="186" spans="1:11" s="81" customFormat="1" ht="84" x14ac:dyDescent="0.2">
      <c r="A186" s="72" t="s">
        <v>89</v>
      </c>
      <c r="B186" s="9" t="s">
        <v>338</v>
      </c>
      <c r="C186" s="89" t="s">
        <v>245</v>
      </c>
      <c r="D186" s="89" t="s">
        <v>877</v>
      </c>
      <c r="E186" s="4" t="s">
        <v>88</v>
      </c>
      <c r="F186" s="8" t="str">
        <f>IF('Self-Assessment_Cases'!I186="Implemented","5",IF('Self-Assessment_Cases'!I186="In Progress - Administrative","3",IF('Self-Assessment_Cases'!I186="In Progress - Configuration","3",IF('Self-Assessment_Cases'!I186="In Progress - Installation/Upgrade","3",IF('Self-Assessment_Cases'!I186="Not Implemented - Compensating Control","5",IF('Self-Assessment_Cases'!I186="Not Implemented - Risk Negligible","5",IF('Self-Assessment_Cases'!I186="Not Implemented - Risk Accepted","1",IF('Self-Assessment_Cases'!I186="Not Implemented - Planned","1",IF('Self-Assessment_Cases'!I186="Not Implemented - Unplanned","1",".")))))))))</f>
        <v>.</v>
      </c>
      <c r="G186" s="75" t="s">
        <v>416</v>
      </c>
      <c r="H186" s="14"/>
      <c r="I186" s="92"/>
      <c r="J186" s="11"/>
      <c r="K186" s="75"/>
    </row>
    <row r="187" spans="1:11" s="81" customFormat="1" ht="98" x14ac:dyDescent="0.2">
      <c r="A187" s="72" t="s">
        <v>89</v>
      </c>
      <c r="B187" s="9" t="s">
        <v>338</v>
      </c>
      <c r="C187" s="89" t="s">
        <v>245</v>
      </c>
      <c r="D187" s="89" t="s">
        <v>941</v>
      </c>
      <c r="E187" s="4" t="s">
        <v>88</v>
      </c>
      <c r="F187" s="8" t="str">
        <f>IF('Self-Assessment_Cases'!I187="Implemented","5",IF('Self-Assessment_Cases'!I187="In Progress - Administrative","3",IF('Self-Assessment_Cases'!I187="In Progress - Configuration","3",IF('Self-Assessment_Cases'!I187="In Progress - Installation/Upgrade","3",IF('Self-Assessment_Cases'!I187="Not Implemented - Compensating Control","5",IF('Self-Assessment_Cases'!I187="Not Implemented - Risk Negligible","5",IF('Self-Assessment_Cases'!I187="Not Implemented - Risk Accepted","1",IF('Self-Assessment_Cases'!I187="Not Implemented - Planned","1",IF('Self-Assessment_Cases'!I187="Not Implemented - Unplanned","1",".")))))))))</f>
        <v>.</v>
      </c>
      <c r="G187" s="80" t="s">
        <v>415</v>
      </c>
      <c r="H187" s="14" t="s">
        <v>414</v>
      </c>
      <c r="I187" s="92"/>
      <c r="J187" s="11"/>
      <c r="K187" s="75"/>
    </row>
    <row r="188" spans="1:11" s="81" customFormat="1" ht="154" x14ac:dyDescent="0.2">
      <c r="A188" s="72" t="s">
        <v>89</v>
      </c>
      <c r="B188" s="9" t="s">
        <v>338</v>
      </c>
      <c r="C188" s="89" t="s">
        <v>245</v>
      </c>
      <c r="D188" s="89" t="s">
        <v>986</v>
      </c>
      <c r="E188" s="4" t="s">
        <v>88</v>
      </c>
      <c r="F188" s="8" t="str">
        <f>IF('Self-Assessment_Cases'!I188="Implemented","5",IF('Self-Assessment_Cases'!I188="In Progress - Administrative","3",IF('Self-Assessment_Cases'!I188="In Progress - Configuration","3",IF('Self-Assessment_Cases'!I188="In Progress - Installation/Upgrade","3",IF('Self-Assessment_Cases'!I188="Not Implemented - Compensating Control","5",IF('Self-Assessment_Cases'!I188="Not Implemented - Risk Negligible","5",IF('Self-Assessment_Cases'!I188="Not Implemented - Risk Accepted","1",IF('Self-Assessment_Cases'!I188="Not Implemented - Planned","1",IF('Self-Assessment_Cases'!I188="Not Implemented - Unplanned","1",".")))))))))</f>
        <v>.</v>
      </c>
      <c r="G188" s="80" t="s">
        <v>413</v>
      </c>
      <c r="H188" s="14" t="s">
        <v>412</v>
      </c>
      <c r="I188" s="92"/>
      <c r="J188" s="11"/>
      <c r="K188" s="75"/>
    </row>
    <row r="189" spans="1:11" s="81" customFormat="1" ht="50" customHeight="1" x14ac:dyDescent="0.2">
      <c r="A189" s="72" t="s">
        <v>89</v>
      </c>
      <c r="B189" s="9" t="s">
        <v>338</v>
      </c>
      <c r="C189" s="89" t="s">
        <v>245</v>
      </c>
      <c r="D189" s="89" t="s">
        <v>1020</v>
      </c>
      <c r="E189" s="4" t="s">
        <v>88</v>
      </c>
      <c r="F189" s="8" t="str">
        <f>IF('Self-Assessment_Cases'!I189="Implemented","5",IF('Self-Assessment_Cases'!I189="In Progress - Administrative","3",IF('Self-Assessment_Cases'!I189="In Progress - Configuration","3",IF('Self-Assessment_Cases'!I189="In Progress - Installation/Upgrade","3",IF('Self-Assessment_Cases'!I189="Not Implemented - Compensating Control","5",IF('Self-Assessment_Cases'!I189="Not Implemented - Risk Negligible","5",IF('Self-Assessment_Cases'!I189="Not Implemented - Risk Accepted","1",IF('Self-Assessment_Cases'!I189="Not Implemented - Planned","1",IF('Self-Assessment_Cases'!I189="Not Implemented - Unplanned","1",".")))))))))</f>
        <v>.</v>
      </c>
      <c r="G189" s="80" t="s">
        <v>703</v>
      </c>
      <c r="H189" s="14" t="s">
        <v>411</v>
      </c>
      <c r="I189" s="92"/>
      <c r="J189" s="11"/>
      <c r="K189" s="75"/>
    </row>
    <row r="190" spans="1:11" s="6" customFormat="1" ht="28" x14ac:dyDescent="0.2">
      <c r="A190" s="4" t="s">
        <v>91</v>
      </c>
      <c r="B190" s="9" t="s">
        <v>361</v>
      </c>
      <c r="C190" s="89" t="s">
        <v>246</v>
      </c>
      <c r="D190" s="89" t="s">
        <v>1151</v>
      </c>
      <c r="E190" s="4" t="s">
        <v>90</v>
      </c>
      <c r="F190" s="8" t="str">
        <f>IF('Self-Assessment_Cases'!I190="Implemented","5",IF('Self-Assessment_Cases'!I190="In Progress - Administrative","3",IF('Self-Assessment_Cases'!I190="In Progress - Configuration","3",IF('Self-Assessment_Cases'!I190="In Progress - Installation/Upgrade","3",IF('Self-Assessment_Cases'!I190="Not Implemented - Compensating Control","5",IF('Self-Assessment_Cases'!I190="Not Implemented - Risk Negligible","5",IF('Self-Assessment_Cases'!I190="Not Implemented - Risk Accepted","1",IF('Self-Assessment_Cases'!I190="Not Implemented - Planned","1",IF('Self-Assessment_Cases'!I190="Not Implemented - Unplanned","1",".")))))))))</f>
        <v>.</v>
      </c>
      <c r="G190" s="23" t="s">
        <v>348</v>
      </c>
      <c r="H190" s="14"/>
      <c r="I190" s="92"/>
      <c r="J190" s="93"/>
      <c r="K190" s="86"/>
    </row>
    <row r="191" spans="1:11" s="108" customFormat="1" ht="116.25" customHeight="1" x14ac:dyDescent="0.2">
      <c r="A191" s="10" t="s">
        <v>93</v>
      </c>
      <c r="B191" s="9" t="s">
        <v>317</v>
      </c>
      <c r="C191" s="112" t="s">
        <v>246</v>
      </c>
      <c r="D191" s="112" t="s">
        <v>1152</v>
      </c>
      <c r="E191" s="10" t="s">
        <v>92</v>
      </c>
      <c r="F191" s="107" t="str">
        <f>IF('Self-Assessment_Cases'!I191="Implemented","5",IF('Self-Assessment_Cases'!I191="In Progress - Administrative","3",IF('Self-Assessment_Cases'!I191="In Progress - Configuration","3",IF('Self-Assessment_Cases'!I191="In Progress - Installation/Upgrade","3",IF('Self-Assessment_Cases'!I191="Not Implemented - Compensating Control","5",IF('Self-Assessment_Cases'!I191="Not Implemented - Risk Negligible","5",IF('Self-Assessment_Cases'!I191="Not Implemented - Risk Accepted","1",IF('Self-Assessment_Cases'!I191="Not Implemented - Planned","1",IF('Self-Assessment_Cases'!I191="Not Implemented - Unplanned","1",".")))))))))</f>
        <v>.</v>
      </c>
      <c r="G191" s="13" t="s">
        <v>563</v>
      </c>
      <c r="H191" s="10" t="s">
        <v>1242</v>
      </c>
      <c r="I191" s="92"/>
      <c r="J191" s="109"/>
      <c r="K191" s="9"/>
    </row>
    <row r="192" spans="1:11" s="108" customFormat="1" ht="42" x14ac:dyDescent="0.2">
      <c r="A192" s="10" t="s">
        <v>93</v>
      </c>
      <c r="B192" s="9" t="s">
        <v>317</v>
      </c>
      <c r="C192" s="112" t="s">
        <v>246</v>
      </c>
      <c r="D192" s="112" t="s">
        <v>798</v>
      </c>
      <c r="E192" s="10" t="s">
        <v>92</v>
      </c>
      <c r="F192" s="107" t="str">
        <f>IF('Self-Assessment_Cases'!I192="Implemented","5",IF('Self-Assessment_Cases'!I192="In Progress - Administrative","3",IF('Self-Assessment_Cases'!I192="In Progress - Configuration","3",IF('Self-Assessment_Cases'!I192="In Progress - Installation/Upgrade","3",IF('Self-Assessment_Cases'!I192="Not Implemented - Compensating Control","5",IF('Self-Assessment_Cases'!I192="Not Implemented - Risk Negligible","5",IF('Self-Assessment_Cases'!I192="Not Implemented - Risk Accepted","1",IF('Self-Assessment_Cases'!I192="Not Implemented - Planned","1",IF('Self-Assessment_Cases'!I192="Not Implemented - Unplanned","1",".")))))))))</f>
        <v>.</v>
      </c>
      <c r="G192" s="13" t="s">
        <v>564</v>
      </c>
      <c r="H192" s="10" t="s">
        <v>1243</v>
      </c>
      <c r="I192" s="92"/>
      <c r="J192" s="109"/>
      <c r="K192" s="9"/>
    </row>
    <row r="193" spans="1:11" s="108" customFormat="1" ht="42" x14ac:dyDescent="0.2">
      <c r="A193" s="10" t="s">
        <v>93</v>
      </c>
      <c r="B193" s="9" t="s">
        <v>317</v>
      </c>
      <c r="C193" s="112" t="s">
        <v>246</v>
      </c>
      <c r="D193" s="112" t="s">
        <v>878</v>
      </c>
      <c r="E193" s="10" t="s">
        <v>92</v>
      </c>
      <c r="F193" s="107" t="str">
        <f>IF('Self-Assessment_Cases'!I193="Implemented","5",IF('Self-Assessment_Cases'!I193="In Progress - Administrative","3",IF('Self-Assessment_Cases'!I193="In Progress - Configuration","3",IF('Self-Assessment_Cases'!I193="In Progress - Installation/Upgrade","3",IF('Self-Assessment_Cases'!I193="Not Implemented - Compensating Control","5",IF('Self-Assessment_Cases'!I193="Not Implemented - Risk Negligible","5",IF('Self-Assessment_Cases'!I193="Not Implemented - Risk Accepted","1",IF('Self-Assessment_Cases'!I193="Not Implemented - Planned","1",IF('Self-Assessment_Cases'!I193="Not Implemented - Unplanned","1",".")))))))))</f>
        <v>.</v>
      </c>
      <c r="G193" s="13" t="s">
        <v>565</v>
      </c>
      <c r="H193" s="10" t="s">
        <v>1244</v>
      </c>
      <c r="I193" s="92"/>
      <c r="J193" s="109"/>
      <c r="K193" s="9"/>
    </row>
    <row r="194" spans="1:11" s="108" customFormat="1" ht="42" x14ac:dyDescent="0.2">
      <c r="A194" s="10" t="s">
        <v>93</v>
      </c>
      <c r="B194" s="9" t="s">
        <v>317</v>
      </c>
      <c r="C194" s="112" t="s">
        <v>246</v>
      </c>
      <c r="D194" s="112" t="s">
        <v>942</v>
      </c>
      <c r="E194" s="10" t="s">
        <v>92</v>
      </c>
      <c r="F194" s="107" t="str">
        <f>IF('Self-Assessment_Cases'!I194="Implemented","5",IF('Self-Assessment_Cases'!I194="In Progress - Administrative","3",IF('Self-Assessment_Cases'!I194="In Progress - Configuration","3",IF('Self-Assessment_Cases'!I194="In Progress - Installation/Upgrade","3",IF('Self-Assessment_Cases'!I194="Not Implemented - Compensating Control","5",IF('Self-Assessment_Cases'!I194="Not Implemented - Risk Negligible","5",IF('Self-Assessment_Cases'!I194="Not Implemented - Risk Accepted","1",IF('Self-Assessment_Cases'!I194="Not Implemented - Planned","1",IF('Self-Assessment_Cases'!I194="Not Implemented - Unplanned","1",".")))))))))</f>
        <v>.</v>
      </c>
      <c r="G194" s="13" t="s">
        <v>566</v>
      </c>
      <c r="H194" s="10" t="s">
        <v>1245</v>
      </c>
      <c r="I194" s="92"/>
      <c r="J194" s="109"/>
      <c r="K194" s="9"/>
    </row>
    <row r="195" spans="1:11" s="108" customFormat="1" ht="42" x14ac:dyDescent="0.2">
      <c r="A195" s="10" t="s">
        <v>93</v>
      </c>
      <c r="B195" s="9" t="s">
        <v>317</v>
      </c>
      <c r="C195" s="112" t="s">
        <v>246</v>
      </c>
      <c r="D195" s="112" t="s">
        <v>987</v>
      </c>
      <c r="E195" s="10" t="s">
        <v>92</v>
      </c>
      <c r="F195" s="107" t="str">
        <f>IF('Self-Assessment_Cases'!I195="Implemented","5",IF('Self-Assessment_Cases'!I195="In Progress - Administrative","3",IF('Self-Assessment_Cases'!I195="In Progress - Configuration","3",IF('Self-Assessment_Cases'!I195="In Progress - Installation/Upgrade","3",IF('Self-Assessment_Cases'!I195="Not Implemented - Compensating Control","5",IF('Self-Assessment_Cases'!I195="Not Implemented - Risk Negligible","5",IF('Self-Assessment_Cases'!I195="Not Implemented - Risk Accepted","1",IF('Self-Assessment_Cases'!I195="Not Implemented - Planned","1",IF('Self-Assessment_Cases'!I195="Not Implemented - Unplanned","1",".")))))))))</f>
        <v>.</v>
      </c>
      <c r="G195" s="9" t="s">
        <v>1263</v>
      </c>
      <c r="H195" s="10" t="s">
        <v>1246</v>
      </c>
      <c r="I195" s="92"/>
      <c r="J195" s="109"/>
      <c r="K195" s="9"/>
    </row>
    <row r="196" spans="1:11" s="3" customFormat="1" ht="56" x14ac:dyDescent="0.2">
      <c r="A196" s="4" t="s">
        <v>95</v>
      </c>
      <c r="B196" s="9" t="s">
        <v>318</v>
      </c>
      <c r="C196" s="89" t="s">
        <v>246</v>
      </c>
      <c r="D196" s="89" t="s">
        <v>1153</v>
      </c>
      <c r="E196" s="4" t="s">
        <v>94</v>
      </c>
      <c r="F196" s="8" t="str">
        <f>IF('Self-Assessment_Cases'!I196="Implemented","5",IF('Self-Assessment_Cases'!I196="In Progress - Administrative","3",IF('Self-Assessment_Cases'!I196="In Progress - Configuration","3",IF('Self-Assessment_Cases'!I196="In Progress - Installation/Upgrade","3",IF('Self-Assessment_Cases'!I196="Not Implemented - Compensating Control","5",IF('Self-Assessment_Cases'!I196="Not Implemented - Risk Negligible","5",IF('Self-Assessment_Cases'!I196="Not Implemented - Risk Accepted","1",IF('Self-Assessment_Cases'!I196="Not Implemented - Planned","1",IF('Self-Assessment_Cases'!I196="Not Implemented - Unplanned","1",".")))))))))</f>
        <v>.</v>
      </c>
      <c r="G196" s="9" t="s">
        <v>501</v>
      </c>
      <c r="H196" s="14"/>
      <c r="I196" s="92"/>
      <c r="J196" s="93"/>
      <c r="K196" s="85"/>
    </row>
    <row r="197" spans="1:11" s="3" customFormat="1" ht="42" x14ac:dyDescent="0.2">
      <c r="A197" s="4" t="s">
        <v>95</v>
      </c>
      <c r="B197" s="9" t="s">
        <v>318</v>
      </c>
      <c r="C197" s="89" t="s">
        <v>246</v>
      </c>
      <c r="D197" s="89" t="s">
        <v>799</v>
      </c>
      <c r="E197" s="4" t="s">
        <v>94</v>
      </c>
      <c r="F197" s="8" t="str">
        <f>IF('Self-Assessment_Cases'!I197="Implemented","5",IF('Self-Assessment_Cases'!I197="In Progress - Administrative","3",IF('Self-Assessment_Cases'!I197="In Progress - Configuration","3",IF('Self-Assessment_Cases'!I197="In Progress - Installation/Upgrade","3",IF('Self-Assessment_Cases'!I197="Not Implemented - Compensating Control","5",IF('Self-Assessment_Cases'!I197="Not Implemented - Risk Negligible","5",IF('Self-Assessment_Cases'!I197="Not Implemented - Risk Accepted","1",IF('Self-Assessment_Cases'!I197="Not Implemented - Planned","1",IF('Self-Assessment_Cases'!I197="Not Implemented - Unplanned","1",".")))))))))</f>
        <v>.</v>
      </c>
      <c r="G197" s="9" t="s">
        <v>502</v>
      </c>
      <c r="H197" s="14"/>
      <c r="I197" s="92"/>
      <c r="J197" s="93"/>
      <c r="K197" s="85"/>
    </row>
    <row r="198" spans="1:11" s="3" customFormat="1" ht="42" x14ac:dyDescent="0.2">
      <c r="A198" s="4" t="s">
        <v>95</v>
      </c>
      <c r="B198" s="9" t="s">
        <v>318</v>
      </c>
      <c r="C198" s="89" t="s">
        <v>246</v>
      </c>
      <c r="D198" s="89" t="s">
        <v>879</v>
      </c>
      <c r="E198" s="4" t="s">
        <v>94</v>
      </c>
      <c r="F198" s="8" t="str">
        <f>IF('Self-Assessment_Cases'!I198="Implemented","5",IF('Self-Assessment_Cases'!I198="In Progress - Administrative","3",IF('Self-Assessment_Cases'!I198="In Progress - Configuration","3",IF('Self-Assessment_Cases'!I198="In Progress - Installation/Upgrade","3",IF('Self-Assessment_Cases'!I198="Not Implemented - Compensating Control","5",IF('Self-Assessment_Cases'!I198="Not Implemented - Risk Negligible","5",IF('Self-Assessment_Cases'!I198="Not Implemented - Risk Accepted","1",IF('Self-Assessment_Cases'!I198="Not Implemented - Planned","1",IF('Self-Assessment_Cases'!I198="Not Implemented - Unplanned","1",".")))))))))</f>
        <v>.</v>
      </c>
      <c r="G198" s="9" t="s">
        <v>503</v>
      </c>
      <c r="H198" s="14"/>
      <c r="I198" s="92"/>
      <c r="J198" s="93"/>
      <c r="K198" s="85"/>
    </row>
    <row r="199" spans="1:11" s="3" customFormat="1" ht="56" x14ac:dyDescent="0.2">
      <c r="A199" s="4" t="s">
        <v>95</v>
      </c>
      <c r="B199" s="9" t="s">
        <v>318</v>
      </c>
      <c r="C199" s="89" t="s">
        <v>246</v>
      </c>
      <c r="D199" s="89" t="s">
        <v>943</v>
      </c>
      <c r="E199" s="4" t="s">
        <v>94</v>
      </c>
      <c r="F199" s="8" t="str">
        <f>IF('Self-Assessment_Cases'!I199="Implemented","5",IF('Self-Assessment_Cases'!I199="In Progress - Administrative","3",IF('Self-Assessment_Cases'!I199="In Progress - Configuration","3",IF('Self-Assessment_Cases'!I199="In Progress - Installation/Upgrade","3",IF('Self-Assessment_Cases'!I199="Not Implemented - Compensating Control","5",IF('Self-Assessment_Cases'!I199="Not Implemented - Risk Negligible","5",IF('Self-Assessment_Cases'!I199="Not Implemented - Risk Accepted","1",IF('Self-Assessment_Cases'!I199="Not Implemented - Planned","1",IF('Self-Assessment_Cases'!I199="Not Implemented - Unplanned","1",".")))))))))</f>
        <v>.</v>
      </c>
      <c r="G199" s="9" t="s">
        <v>506</v>
      </c>
      <c r="H199" s="14"/>
      <c r="I199" s="92"/>
      <c r="J199" s="93"/>
      <c r="K199" s="85"/>
    </row>
    <row r="200" spans="1:11" s="3" customFormat="1" ht="56" x14ac:dyDescent="0.2">
      <c r="A200" s="4" t="s">
        <v>95</v>
      </c>
      <c r="B200" s="9" t="s">
        <v>318</v>
      </c>
      <c r="C200" s="89" t="s">
        <v>246</v>
      </c>
      <c r="D200" s="89" t="s">
        <v>988</v>
      </c>
      <c r="E200" s="4" t="s">
        <v>94</v>
      </c>
      <c r="F200" s="8" t="str">
        <f>IF('Self-Assessment_Cases'!I200="Implemented","5",IF('Self-Assessment_Cases'!I200="In Progress - Administrative","3",IF('Self-Assessment_Cases'!I200="In Progress - Configuration","3",IF('Self-Assessment_Cases'!I200="In Progress - Installation/Upgrade","3",IF('Self-Assessment_Cases'!I200="Not Implemented - Compensating Control","5",IF('Self-Assessment_Cases'!I200="Not Implemented - Risk Negligible","5",IF('Self-Assessment_Cases'!I200="Not Implemented - Risk Accepted","1",IF('Self-Assessment_Cases'!I200="Not Implemented - Planned","1",IF('Self-Assessment_Cases'!I200="Not Implemented - Unplanned","1",".")))))))))</f>
        <v>.</v>
      </c>
      <c r="G200" s="9" t="s">
        <v>504</v>
      </c>
      <c r="H200" s="14"/>
      <c r="I200" s="92"/>
      <c r="J200" s="93"/>
      <c r="K200" s="85"/>
    </row>
    <row r="201" spans="1:11" s="3" customFormat="1" ht="56" x14ac:dyDescent="0.2">
      <c r="A201" s="4" t="s">
        <v>95</v>
      </c>
      <c r="B201" s="9" t="s">
        <v>318</v>
      </c>
      <c r="C201" s="89" t="s">
        <v>246</v>
      </c>
      <c r="D201" s="89" t="s">
        <v>1021</v>
      </c>
      <c r="E201" s="4" t="s">
        <v>94</v>
      </c>
      <c r="F201" s="8" t="str">
        <f>IF('Self-Assessment_Cases'!I201="Implemented","5",IF('Self-Assessment_Cases'!I201="In Progress - Administrative","3",IF('Self-Assessment_Cases'!I201="In Progress - Configuration","3",IF('Self-Assessment_Cases'!I201="In Progress - Installation/Upgrade","3",IF('Self-Assessment_Cases'!I201="Not Implemented - Compensating Control","5",IF('Self-Assessment_Cases'!I201="Not Implemented - Risk Negligible","5",IF('Self-Assessment_Cases'!I201="Not Implemented - Risk Accepted","1",IF('Self-Assessment_Cases'!I201="Not Implemented - Planned","1",IF('Self-Assessment_Cases'!I201="Not Implemented - Unplanned","1",".")))))))))</f>
        <v>.</v>
      </c>
      <c r="G201" s="9" t="s">
        <v>505</v>
      </c>
      <c r="H201" s="14"/>
      <c r="I201" s="92"/>
      <c r="J201" s="93"/>
      <c r="K201" s="85"/>
    </row>
    <row r="202" spans="1:11" s="3" customFormat="1" ht="42" x14ac:dyDescent="0.2">
      <c r="A202" s="4" t="s">
        <v>95</v>
      </c>
      <c r="B202" s="9" t="s">
        <v>318</v>
      </c>
      <c r="C202" s="89" t="s">
        <v>246</v>
      </c>
      <c r="D202" s="89" t="s">
        <v>1046</v>
      </c>
      <c r="E202" s="4" t="s">
        <v>94</v>
      </c>
      <c r="F202" s="8" t="str">
        <f>IF('Self-Assessment_Cases'!I202="Implemented","5",IF('Self-Assessment_Cases'!I202="In Progress - Administrative","3",IF('Self-Assessment_Cases'!I202="In Progress - Configuration","3",IF('Self-Assessment_Cases'!I202="In Progress - Installation/Upgrade","3",IF('Self-Assessment_Cases'!I202="Not Implemented - Compensating Control","5",IF('Self-Assessment_Cases'!I202="Not Implemented - Risk Negligible","5",IF('Self-Assessment_Cases'!I202="Not Implemented - Risk Accepted","1",IF('Self-Assessment_Cases'!I202="Not Implemented - Planned","1",IF('Self-Assessment_Cases'!I202="Not Implemented - Unplanned","1",".")))))))))</f>
        <v>.</v>
      </c>
      <c r="G202" s="9" t="s">
        <v>507</v>
      </c>
      <c r="H202" s="14"/>
      <c r="I202" s="92"/>
      <c r="J202" s="93"/>
      <c r="K202" s="85"/>
    </row>
    <row r="203" spans="1:11" s="3" customFormat="1" ht="56" x14ac:dyDescent="0.2">
      <c r="A203" s="4" t="s">
        <v>95</v>
      </c>
      <c r="B203" s="9" t="s">
        <v>318</v>
      </c>
      <c r="C203" s="89" t="s">
        <v>246</v>
      </c>
      <c r="D203" s="89" t="s">
        <v>1068</v>
      </c>
      <c r="E203" s="4" t="s">
        <v>94</v>
      </c>
      <c r="F203" s="8" t="str">
        <f>IF('Self-Assessment_Cases'!I203="Implemented","5",IF('Self-Assessment_Cases'!I203="In Progress - Administrative","3",IF('Self-Assessment_Cases'!I203="In Progress - Configuration","3",IF('Self-Assessment_Cases'!I203="In Progress - Installation/Upgrade","3",IF('Self-Assessment_Cases'!I203="Not Implemented - Compensating Control","5",IF('Self-Assessment_Cases'!I203="Not Implemented - Risk Negligible","5",IF('Self-Assessment_Cases'!I203="Not Implemented - Risk Accepted","1",IF('Self-Assessment_Cases'!I203="Not Implemented - Planned","1",IF('Self-Assessment_Cases'!I203="Not Implemented - Unplanned","1",".")))))))))</f>
        <v>.</v>
      </c>
      <c r="G203" s="9" t="s">
        <v>508</v>
      </c>
      <c r="H203" s="14"/>
      <c r="I203" s="92"/>
      <c r="J203" s="93"/>
      <c r="K203" s="85"/>
    </row>
    <row r="204" spans="1:11" s="3" customFormat="1" ht="56" x14ac:dyDescent="0.2">
      <c r="A204" s="4" t="s">
        <v>95</v>
      </c>
      <c r="B204" s="9" t="s">
        <v>318</v>
      </c>
      <c r="C204" s="89" t="s">
        <v>246</v>
      </c>
      <c r="D204" s="89" t="s">
        <v>1088</v>
      </c>
      <c r="E204" s="4" t="s">
        <v>94</v>
      </c>
      <c r="F204" s="8" t="str">
        <f>IF('Self-Assessment_Cases'!I204="Implemented","5",IF('Self-Assessment_Cases'!I204="In Progress - Administrative","3",IF('Self-Assessment_Cases'!I204="In Progress - Configuration","3",IF('Self-Assessment_Cases'!I204="In Progress - Installation/Upgrade","3",IF('Self-Assessment_Cases'!I204="Not Implemented - Compensating Control","5",IF('Self-Assessment_Cases'!I204="Not Implemented - Risk Negligible","5",IF('Self-Assessment_Cases'!I204="Not Implemented - Risk Accepted","1",IF('Self-Assessment_Cases'!I204="Not Implemented - Planned","1",IF('Self-Assessment_Cases'!I204="Not Implemented - Unplanned","1",".")))))))))</f>
        <v>.</v>
      </c>
      <c r="G204" s="9" t="s">
        <v>509</v>
      </c>
      <c r="H204" s="14"/>
      <c r="I204" s="92"/>
      <c r="J204" s="93"/>
      <c r="K204" s="85"/>
    </row>
    <row r="205" spans="1:11" s="3" customFormat="1" ht="56" x14ac:dyDescent="0.2">
      <c r="A205" s="4" t="s">
        <v>95</v>
      </c>
      <c r="B205" s="9" t="s">
        <v>318</v>
      </c>
      <c r="C205" s="89" t="s">
        <v>246</v>
      </c>
      <c r="D205" s="89" t="s">
        <v>655</v>
      </c>
      <c r="E205" s="4" t="s">
        <v>94</v>
      </c>
      <c r="F205" s="8" t="str">
        <f>IF('Self-Assessment_Cases'!I205="Implemented","5",IF('Self-Assessment_Cases'!I205="In Progress - Administrative","3",IF('Self-Assessment_Cases'!I205="In Progress - Configuration","3",IF('Self-Assessment_Cases'!I205="In Progress - Installation/Upgrade","3",IF('Self-Assessment_Cases'!I205="Not Implemented - Compensating Control","5",IF('Self-Assessment_Cases'!I205="Not Implemented - Risk Negligible","5",IF('Self-Assessment_Cases'!I205="Not Implemented - Risk Accepted","1",IF('Self-Assessment_Cases'!I205="Not Implemented - Planned","1",IF('Self-Assessment_Cases'!I205="Not Implemented - Unplanned","1",".")))))))))</f>
        <v>.</v>
      </c>
      <c r="G205" s="9" t="s">
        <v>510</v>
      </c>
      <c r="H205" s="14"/>
      <c r="I205" s="92"/>
      <c r="J205" s="93"/>
      <c r="K205" s="85"/>
    </row>
    <row r="206" spans="1:11" s="3" customFormat="1" ht="42" x14ac:dyDescent="0.2">
      <c r="A206" s="4" t="s">
        <v>97</v>
      </c>
      <c r="B206" s="9" t="s">
        <v>362</v>
      </c>
      <c r="C206" s="89" t="s">
        <v>246</v>
      </c>
      <c r="D206" s="89" t="s">
        <v>1154</v>
      </c>
      <c r="E206" s="4" t="s">
        <v>96</v>
      </c>
      <c r="F206" s="8" t="str">
        <f>IF('Self-Assessment_Cases'!I206="Implemented","5",IF('Self-Assessment_Cases'!I206="In Progress - Administrative","3",IF('Self-Assessment_Cases'!I206="In Progress - Configuration","3",IF('Self-Assessment_Cases'!I206="In Progress - Installation/Upgrade","3",IF('Self-Assessment_Cases'!I206="Not Implemented - Compensating Control","5",IF('Self-Assessment_Cases'!I206="Not Implemented - Risk Negligible","5",IF('Self-Assessment_Cases'!I206="Not Implemented - Risk Accepted","1",IF('Self-Assessment_Cases'!I206="Not Implemented - Planned","1",IF('Self-Assessment_Cases'!I206="Not Implemented - Unplanned","1",".")))))))))</f>
        <v>.</v>
      </c>
      <c r="G206" s="10" t="s">
        <v>349</v>
      </c>
      <c r="H206" s="14"/>
      <c r="I206" s="92"/>
      <c r="J206" s="93"/>
      <c r="K206" s="86"/>
    </row>
    <row r="207" spans="1:11" s="3" customFormat="1" ht="28" x14ac:dyDescent="0.2">
      <c r="A207" s="4" t="s">
        <v>99</v>
      </c>
      <c r="B207" s="9" t="s">
        <v>358</v>
      </c>
      <c r="C207" s="89" t="s">
        <v>246</v>
      </c>
      <c r="D207" s="89" t="s">
        <v>1155</v>
      </c>
      <c r="E207" s="4" t="s">
        <v>98</v>
      </c>
      <c r="F207" s="8" t="str">
        <f>IF('Self-Assessment_Cases'!I207="Implemented","5",IF('Self-Assessment_Cases'!I207="In Progress - Administrative","3",IF('Self-Assessment_Cases'!I207="In Progress - Configuration","3",IF('Self-Assessment_Cases'!I207="In Progress - Installation/Upgrade","3",IF('Self-Assessment_Cases'!I207="Not Implemented - Compensating Control","5",IF('Self-Assessment_Cases'!I207="Not Implemented - Risk Negligible","5",IF('Self-Assessment_Cases'!I207="Not Implemented - Risk Accepted","1",IF('Self-Assessment_Cases'!I207="Not Implemented - Planned","1",IF('Self-Assessment_Cases'!I207="Not Implemented - Unplanned","1",".")))))))))</f>
        <v>.</v>
      </c>
      <c r="G207" s="10" t="s">
        <v>693</v>
      </c>
      <c r="H207" s="14"/>
      <c r="I207" s="92"/>
      <c r="J207" s="93"/>
      <c r="K207" s="86"/>
    </row>
    <row r="208" spans="1:11" s="5" customFormat="1" ht="70" x14ac:dyDescent="0.2">
      <c r="A208" s="4" t="s">
        <v>101</v>
      </c>
      <c r="B208" s="9" t="s">
        <v>320</v>
      </c>
      <c r="C208" s="89" t="s">
        <v>246</v>
      </c>
      <c r="D208" s="89" t="s">
        <v>1156</v>
      </c>
      <c r="E208" s="4" t="s">
        <v>100</v>
      </c>
      <c r="F208" s="8" t="str">
        <f>IF('Self-Assessment_Cases'!I208="Implemented","5",IF('Self-Assessment_Cases'!I208="In Progress - Administrative","3",IF('Self-Assessment_Cases'!I208="In Progress - Configuration","3",IF('Self-Assessment_Cases'!I208="In Progress - Installation/Upgrade","3",IF('Self-Assessment_Cases'!I208="Not Implemented - Compensating Control","5",IF('Self-Assessment_Cases'!I208="Not Implemented - Risk Negligible","5",IF('Self-Assessment_Cases'!I208="Not Implemented - Risk Accepted","1",IF('Self-Assessment_Cases'!I208="Not Implemented - Planned","1",IF('Self-Assessment_Cases'!I208="Not Implemented - Unplanned","1",".")))))))))</f>
        <v>.</v>
      </c>
      <c r="G208" s="13" t="s">
        <v>511</v>
      </c>
      <c r="H208" s="14"/>
      <c r="I208" s="92"/>
      <c r="J208" s="93"/>
      <c r="K208" s="85"/>
    </row>
    <row r="209" spans="1:11" s="5" customFormat="1" ht="84" x14ac:dyDescent="0.2">
      <c r="A209" s="4" t="s">
        <v>101</v>
      </c>
      <c r="B209" s="9" t="s">
        <v>320</v>
      </c>
      <c r="C209" s="89" t="s">
        <v>246</v>
      </c>
      <c r="D209" s="89" t="s">
        <v>800</v>
      </c>
      <c r="E209" s="4" t="s">
        <v>100</v>
      </c>
      <c r="F209" s="8" t="str">
        <f>IF('Self-Assessment_Cases'!I209="Implemented","5",IF('Self-Assessment_Cases'!I209="In Progress - Administrative","3",IF('Self-Assessment_Cases'!I209="In Progress - Configuration","3",IF('Self-Assessment_Cases'!I209="In Progress - Installation/Upgrade","3",IF('Self-Assessment_Cases'!I209="Not Implemented - Compensating Control","5",IF('Self-Assessment_Cases'!I209="Not Implemented - Risk Negligible","5",IF('Self-Assessment_Cases'!I209="Not Implemented - Risk Accepted","1",IF('Self-Assessment_Cases'!I209="Not Implemented - Planned","1",IF('Self-Assessment_Cases'!I209="Not Implemented - Unplanned","1",".")))))))))</f>
        <v>.</v>
      </c>
      <c r="G209" s="13" t="s">
        <v>712</v>
      </c>
      <c r="H209" s="14"/>
      <c r="I209" s="92"/>
      <c r="J209" s="93"/>
      <c r="K209" s="85"/>
    </row>
    <row r="210" spans="1:11" s="6" customFormat="1" ht="42" x14ac:dyDescent="0.2">
      <c r="A210" s="4" t="s">
        <v>268</v>
      </c>
      <c r="B210" s="9"/>
      <c r="C210" s="89" t="s">
        <v>246</v>
      </c>
      <c r="D210" s="88" t="s">
        <v>1157</v>
      </c>
      <c r="E210" s="4" t="s">
        <v>223</v>
      </c>
      <c r="F210" s="8" t="str">
        <f>IF('Self-Assessment_Cases'!I210="Implemented","5",IF('Self-Assessment_Cases'!I210="In Progress - Administrative","3",IF('Self-Assessment_Cases'!I210="In Progress - Configuration","3",IF('Self-Assessment_Cases'!I210="In Progress - Installation/Upgrade","3",IF('Self-Assessment_Cases'!I210="Not Implemented - Compensating Control","5",IF('Self-Assessment_Cases'!I210="Not Implemented - Risk Negligible","5",IF('Self-Assessment_Cases'!I210="Not Implemented - Risk Accepted","1",IF('Self-Assessment_Cases'!I210="Not Implemented - Planned","1",IF('Self-Assessment_Cases'!I210="Not Implemented - Unplanned","1",".")))))))))</f>
        <v>.</v>
      </c>
      <c r="G210" s="9" t="s">
        <v>368</v>
      </c>
      <c r="H210" s="14"/>
      <c r="I210" s="92"/>
      <c r="J210" s="93"/>
      <c r="K210" s="85"/>
    </row>
    <row r="211" spans="1:11" s="83" customFormat="1" ht="28" x14ac:dyDescent="0.2">
      <c r="A211" s="72" t="s">
        <v>103</v>
      </c>
      <c r="B211" s="9"/>
      <c r="C211" s="89" t="s">
        <v>245</v>
      </c>
      <c r="D211" s="89" t="s">
        <v>1158</v>
      </c>
      <c r="E211" s="4" t="s">
        <v>102</v>
      </c>
      <c r="F211" s="8" t="str">
        <f>IF('Self-Assessment_Cases'!I211="Implemented","5",IF('Self-Assessment_Cases'!I211="In Progress - Administrative","3",IF('Self-Assessment_Cases'!I211="In Progress - Configuration","3",IF('Self-Assessment_Cases'!I211="In Progress - Installation/Upgrade","3",IF('Self-Assessment_Cases'!I211="Not Implemented - Compensating Control","5",IF('Self-Assessment_Cases'!I211="Not Implemented - Risk Negligible","5",IF('Self-Assessment_Cases'!I211="Not Implemented - Risk Accepted","1",IF('Self-Assessment_Cases'!I211="Not Implemented - Planned","1",IF('Self-Assessment_Cases'!I211="Not Implemented - Unplanned","1",".")))))))))</f>
        <v>.</v>
      </c>
      <c r="G211" s="75" t="s">
        <v>1327</v>
      </c>
      <c r="H211" s="14"/>
      <c r="I211" s="92"/>
      <c r="J211" s="11"/>
      <c r="K211" s="75"/>
    </row>
    <row r="212" spans="1:11" s="83" customFormat="1" ht="28" x14ac:dyDescent="0.2">
      <c r="A212" s="72" t="s">
        <v>103</v>
      </c>
      <c r="B212" s="9"/>
      <c r="C212" s="89" t="s">
        <v>245</v>
      </c>
      <c r="D212" s="89" t="s">
        <v>801</v>
      </c>
      <c r="E212" s="4" t="s">
        <v>102</v>
      </c>
      <c r="F212" s="8" t="str">
        <f>IF('Self-Assessment_Cases'!I212="Implemented","5",IF('Self-Assessment_Cases'!I212="In Progress - Administrative","3",IF('Self-Assessment_Cases'!I212="In Progress - Configuration","3",IF('Self-Assessment_Cases'!I212="In Progress - Installation/Upgrade","3",IF('Self-Assessment_Cases'!I212="Not Implemented - Compensating Control","5",IF('Self-Assessment_Cases'!I212="Not Implemented - Risk Negligible","5",IF('Self-Assessment_Cases'!I212="Not Implemented - Risk Accepted","1",IF('Self-Assessment_Cases'!I212="Not Implemented - Planned","1",IF('Self-Assessment_Cases'!I212="Not Implemented - Unplanned","1",".")))))))))</f>
        <v>.</v>
      </c>
      <c r="G212" s="75" t="s">
        <v>1328</v>
      </c>
      <c r="H212" s="14"/>
      <c r="I212" s="92"/>
      <c r="J212" s="11"/>
      <c r="K212" s="75"/>
    </row>
    <row r="213" spans="1:11" s="83" customFormat="1" ht="28" x14ac:dyDescent="0.2">
      <c r="A213" s="72" t="s">
        <v>103</v>
      </c>
      <c r="B213" s="9"/>
      <c r="C213" s="89" t="s">
        <v>245</v>
      </c>
      <c r="D213" s="89" t="s">
        <v>880</v>
      </c>
      <c r="E213" s="4" t="s">
        <v>102</v>
      </c>
      <c r="F213" s="8" t="str">
        <f>IF('Self-Assessment_Cases'!I213="Implemented","5",IF('Self-Assessment_Cases'!I213="In Progress - Administrative","3",IF('Self-Assessment_Cases'!I213="In Progress - Configuration","3",IF('Self-Assessment_Cases'!I213="In Progress - Installation/Upgrade","3",IF('Self-Assessment_Cases'!I213="Not Implemented - Compensating Control","5",IF('Self-Assessment_Cases'!I213="Not Implemented - Risk Negligible","5",IF('Self-Assessment_Cases'!I213="Not Implemented - Risk Accepted","1",IF('Self-Assessment_Cases'!I213="Not Implemented - Planned","1",IF('Self-Assessment_Cases'!I213="Not Implemented - Unplanned","1",".")))))))))</f>
        <v>.</v>
      </c>
      <c r="G213" s="75" t="s">
        <v>1329</v>
      </c>
      <c r="H213" s="14"/>
      <c r="I213" s="92"/>
      <c r="J213" s="11"/>
      <c r="K213" s="75"/>
    </row>
    <row r="214" spans="1:11" s="83" customFormat="1" ht="28" x14ac:dyDescent="0.2">
      <c r="A214" s="72" t="s">
        <v>103</v>
      </c>
      <c r="B214" s="9"/>
      <c r="C214" s="89" t="s">
        <v>245</v>
      </c>
      <c r="D214" s="89" t="s">
        <v>944</v>
      </c>
      <c r="E214" s="4" t="s">
        <v>102</v>
      </c>
      <c r="F214" s="8" t="str">
        <f>IF('Self-Assessment_Cases'!I214="Implemented","5",IF('Self-Assessment_Cases'!I214="In Progress - Administrative","3",IF('Self-Assessment_Cases'!I214="In Progress - Configuration","3",IF('Self-Assessment_Cases'!I214="In Progress - Installation/Upgrade","3",IF('Self-Assessment_Cases'!I214="Not Implemented - Compensating Control","5",IF('Self-Assessment_Cases'!I214="Not Implemented - Risk Negligible","5",IF('Self-Assessment_Cases'!I214="Not Implemented - Risk Accepted","1",IF('Self-Assessment_Cases'!I214="Not Implemented - Planned","1",IF('Self-Assessment_Cases'!I214="Not Implemented - Unplanned","1",".")))))))))</f>
        <v>.</v>
      </c>
      <c r="G214" s="75" t="s">
        <v>1330</v>
      </c>
      <c r="H214" s="14"/>
      <c r="I214" s="92"/>
      <c r="J214" s="11"/>
      <c r="K214" s="75"/>
    </row>
    <row r="215" spans="1:11" s="83" customFormat="1" ht="28" x14ac:dyDescent="0.2">
      <c r="A215" s="72" t="s">
        <v>103</v>
      </c>
      <c r="B215" s="9"/>
      <c r="C215" s="89" t="s">
        <v>245</v>
      </c>
      <c r="D215" s="89" t="s">
        <v>989</v>
      </c>
      <c r="E215" s="4" t="s">
        <v>102</v>
      </c>
      <c r="F215" s="8" t="str">
        <f>IF('Self-Assessment_Cases'!I215="Implemented","5",IF('Self-Assessment_Cases'!I215="In Progress - Administrative","3",IF('Self-Assessment_Cases'!I215="In Progress - Configuration","3",IF('Self-Assessment_Cases'!I215="In Progress - Installation/Upgrade","3",IF('Self-Assessment_Cases'!I215="Not Implemented - Compensating Control","5",IF('Self-Assessment_Cases'!I215="Not Implemented - Risk Negligible","5",IF('Self-Assessment_Cases'!I215="Not Implemented - Risk Accepted","1",IF('Self-Assessment_Cases'!I215="Not Implemented - Planned","1",IF('Self-Assessment_Cases'!I215="Not Implemented - Unplanned","1",".")))))))))</f>
        <v>.</v>
      </c>
      <c r="G215" s="75" t="s">
        <v>1331</v>
      </c>
      <c r="H215" s="14"/>
      <c r="I215" s="92"/>
      <c r="J215" s="11"/>
      <c r="K215" s="75"/>
    </row>
    <row r="216" spans="1:11" s="83" customFormat="1" ht="28" x14ac:dyDescent="0.2">
      <c r="A216" s="72" t="s">
        <v>103</v>
      </c>
      <c r="B216" s="9"/>
      <c r="C216" s="89" t="s">
        <v>245</v>
      </c>
      <c r="D216" s="89" t="s">
        <v>1022</v>
      </c>
      <c r="E216" s="4" t="s">
        <v>102</v>
      </c>
      <c r="F216" s="8" t="str">
        <f>IF('Self-Assessment_Cases'!I216="Implemented","5",IF('Self-Assessment_Cases'!I216="In Progress - Administrative","3",IF('Self-Assessment_Cases'!I216="In Progress - Configuration","3",IF('Self-Assessment_Cases'!I216="In Progress - Installation/Upgrade","3",IF('Self-Assessment_Cases'!I216="Not Implemented - Compensating Control","5",IF('Self-Assessment_Cases'!I216="Not Implemented - Risk Negligible","5",IF('Self-Assessment_Cases'!I216="Not Implemented - Risk Accepted","1",IF('Self-Assessment_Cases'!I216="Not Implemented - Planned","1",IF('Self-Assessment_Cases'!I216="Not Implemented - Unplanned","1",".")))))))))</f>
        <v>.</v>
      </c>
      <c r="G216" s="75" t="s">
        <v>1332</v>
      </c>
      <c r="H216" s="14"/>
      <c r="I216" s="92"/>
      <c r="J216" s="11"/>
      <c r="K216" s="75"/>
    </row>
    <row r="217" spans="1:11" s="83" customFormat="1" ht="42" x14ac:dyDescent="0.2">
      <c r="A217" s="72" t="s">
        <v>103</v>
      </c>
      <c r="B217" s="9"/>
      <c r="C217" s="89" t="s">
        <v>245</v>
      </c>
      <c r="D217" s="89" t="s">
        <v>1047</v>
      </c>
      <c r="E217" s="4" t="s">
        <v>102</v>
      </c>
      <c r="F217" s="8" t="str">
        <f>IF('Self-Assessment_Cases'!I217="Implemented","5",IF('Self-Assessment_Cases'!I217="In Progress - Administrative","3",IF('Self-Assessment_Cases'!I217="In Progress - Configuration","3",IF('Self-Assessment_Cases'!I217="In Progress - Installation/Upgrade","3",IF('Self-Assessment_Cases'!I217="Not Implemented - Compensating Control","5",IF('Self-Assessment_Cases'!I217="Not Implemented - Risk Negligible","5",IF('Self-Assessment_Cases'!I217="Not Implemented - Risk Accepted","1",IF('Self-Assessment_Cases'!I217="Not Implemented - Planned","1",IF('Self-Assessment_Cases'!I217="Not Implemented - Unplanned","1",".")))))))))</f>
        <v>.</v>
      </c>
      <c r="G217" s="75" t="s">
        <v>1333</v>
      </c>
      <c r="H217" s="14"/>
      <c r="I217" s="92"/>
      <c r="J217" s="11"/>
      <c r="K217" s="75"/>
    </row>
    <row r="218" spans="1:11" s="83" customFormat="1" ht="42" x14ac:dyDescent="0.2">
      <c r="A218" s="72" t="s">
        <v>103</v>
      </c>
      <c r="B218" s="9"/>
      <c r="C218" s="89" t="s">
        <v>245</v>
      </c>
      <c r="D218" s="89" t="s">
        <v>1069</v>
      </c>
      <c r="E218" s="4" t="s">
        <v>102</v>
      </c>
      <c r="F218" s="8" t="str">
        <f>IF('Self-Assessment_Cases'!I218="Implemented","5",IF('Self-Assessment_Cases'!I218="In Progress - Administrative","3",IF('Self-Assessment_Cases'!I218="In Progress - Configuration","3",IF('Self-Assessment_Cases'!I218="In Progress - Installation/Upgrade","3",IF('Self-Assessment_Cases'!I218="Not Implemented - Compensating Control","5",IF('Self-Assessment_Cases'!I218="Not Implemented - Risk Negligible","5",IF('Self-Assessment_Cases'!I218="Not Implemented - Risk Accepted","1",IF('Self-Assessment_Cases'!I218="Not Implemented - Planned","1",IF('Self-Assessment_Cases'!I218="Not Implemented - Unplanned","1",".")))))))))</f>
        <v>.</v>
      </c>
      <c r="G218" s="75" t="s">
        <v>1334</v>
      </c>
      <c r="H218" s="14"/>
      <c r="I218" s="92"/>
      <c r="J218" s="11"/>
      <c r="K218" s="75"/>
    </row>
    <row r="219" spans="1:11" s="83" customFormat="1" ht="42" x14ac:dyDescent="0.2">
      <c r="A219" s="72" t="s">
        <v>103</v>
      </c>
      <c r="B219" s="9"/>
      <c r="C219" s="89" t="s">
        <v>245</v>
      </c>
      <c r="D219" s="89" t="s">
        <v>1089</v>
      </c>
      <c r="E219" s="4" t="s">
        <v>102</v>
      </c>
      <c r="F219" s="8" t="str">
        <f>IF('Self-Assessment_Cases'!I219="Implemented","5",IF('Self-Assessment_Cases'!I219="In Progress - Administrative","3",IF('Self-Assessment_Cases'!I219="In Progress - Configuration","3",IF('Self-Assessment_Cases'!I219="In Progress - Installation/Upgrade","3",IF('Self-Assessment_Cases'!I219="Not Implemented - Compensating Control","5",IF('Self-Assessment_Cases'!I219="Not Implemented - Risk Negligible","5",IF('Self-Assessment_Cases'!I219="Not Implemented - Risk Accepted","1",IF('Self-Assessment_Cases'!I219="Not Implemented - Planned","1",IF('Self-Assessment_Cases'!I219="Not Implemented - Unplanned","1",".")))))))))</f>
        <v>.</v>
      </c>
      <c r="G219" s="75" t="s">
        <v>389</v>
      </c>
      <c r="H219" s="14"/>
      <c r="I219" s="92"/>
      <c r="J219" s="11"/>
      <c r="K219" s="75"/>
    </row>
    <row r="220" spans="1:11" s="83" customFormat="1" ht="42" x14ac:dyDescent="0.2">
      <c r="A220" s="72" t="s">
        <v>103</v>
      </c>
      <c r="B220" s="9"/>
      <c r="C220" s="89" t="s">
        <v>245</v>
      </c>
      <c r="D220" s="89" t="s">
        <v>652</v>
      </c>
      <c r="E220" s="4" t="s">
        <v>102</v>
      </c>
      <c r="F220" s="8" t="str">
        <f>IF('Self-Assessment_Cases'!I220="Implemented","5",IF('Self-Assessment_Cases'!I220="In Progress - Administrative","3",IF('Self-Assessment_Cases'!I220="In Progress - Configuration","3",IF('Self-Assessment_Cases'!I220="In Progress - Installation/Upgrade","3",IF('Self-Assessment_Cases'!I220="Not Implemented - Compensating Control","5",IF('Self-Assessment_Cases'!I220="Not Implemented - Risk Negligible","5",IF('Self-Assessment_Cases'!I220="Not Implemented - Risk Accepted","1",IF('Self-Assessment_Cases'!I220="Not Implemented - Planned","1",IF('Self-Assessment_Cases'!I220="Not Implemented - Unplanned","1",".")))))))))</f>
        <v>.</v>
      </c>
      <c r="G220" s="75" t="s">
        <v>390</v>
      </c>
      <c r="H220" s="14"/>
      <c r="I220" s="92"/>
      <c r="J220" s="11"/>
      <c r="K220" s="75"/>
    </row>
    <row r="221" spans="1:11" s="6" customFormat="1" ht="28" x14ac:dyDescent="0.2">
      <c r="A221" s="4" t="s">
        <v>105</v>
      </c>
      <c r="B221" s="9" t="s">
        <v>314</v>
      </c>
      <c r="C221" s="89" t="s">
        <v>247</v>
      </c>
      <c r="D221" s="89" t="s">
        <v>1159</v>
      </c>
      <c r="E221" s="4" t="s">
        <v>104</v>
      </c>
      <c r="F221" s="8" t="str">
        <f>IF('Self-Assessment_Cases'!I221="Implemented","5",IF('Self-Assessment_Cases'!I221="In Progress - Administrative","3",IF('Self-Assessment_Cases'!I221="In Progress - Configuration","3",IF('Self-Assessment_Cases'!I221="In Progress - Installation/Upgrade","3",IF('Self-Assessment_Cases'!I221="Not Implemented - Compensating Control","5",IF('Self-Assessment_Cases'!I221="Not Implemented - Risk Negligible","5",IF('Self-Assessment_Cases'!I221="Not Implemented - Risk Accepted","1",IF('Self-Assessment_Cases'!I221="Not Implemented - Planned","1",IF('Self-Assessment_Cases'!I221="Not Implemented - Unplanned","1",".")))))))))</f>
        <v>.</v>
      </c>
      <c r="G221" s="9" t="s">
        <v>632</v>
      </c>
      <c r="H221" s="14"/>
      <c r="I221" s="92"/>
      <c r="J221" s="14"/>
      <c r="K221" s="9"/>
    </row>
    <row r="222" spans="1:11" s="6" customFormat="1" ht="56" x14ac:dyDescent="0.2">
      <c r="A222" s="4" t="s">
        <v>105</v>
      </c>
      <c r="B222" s="9" t="s">
        <v>314</v>
      </c>
      <c r="C222" s="89" t="s">
        <v>247</v>
      </c>
      <c r="D222" s="89" t="s">
        <v>802</v>
      </c>
      <c r="E222" s="4" t="s">
        <v>104</v>
      </c>
      <c r="F222" s="8" t="str">
        <f>IF('Self-Assessment_Cases'!I222="Implemented","5",IF('Self-Assessment_Cases'!I222="In Progress - Administrative","3",IF('Self-Assessment_Cases'!I222="In Progress - Configuration","3",IF('Self-Assessment_Cases'!I222="In Progress - Installation/Upgrade","3",IF('Self-Assessment_Cases'!I222="Not Implemented - Compensating Control","5",IF('Self-Assessment_Cases'!I222="Not Implemented - Risk Negligible","5",IF('Self-Assessment_Cases'!I222="Not Implemented - Risk Accepted","1",IF('Self-Assessment_Cases'!I222="Not Implemented - Planned","1",IF('Self-Assessment_Cases'!I222="Not Implemented - Unplanned","1",".")))))))))</f>
        <v>.</v>
      </c>
      <c r="G222" s="9" t="s">
        <v>713</v>
      </c>
      <c r="H222" s="14"/>
      <c r="I222" s="92"/>
      <c r="J222" s="14"/>
      <c r="K222" s="9"/>
    </row>
    <row r="223" spans="1:11" s="6" customFormat="1" ht="70" x14ac:dyDescent="0.2">
      <c r="A223" s="4" t="s">
        <v>107</v>
      </c>
      <c r="B223" s="9" t="s">
        <v>339</v>
      </c>
      <c r="C223" s="89" t="s">
        <v>246</v>
      </c>
      <c r="D223" s="89" t="s">
        <v>1160</v>
      </c>
      <c r="E223" s="4" t="s">
        <v>106</v>
      </c>
      <c r="F223" s="8" t="str">
        <f>IF('Self-Assessment_Cases'!I223="Implemented","5",IF('Self-Assessment_Cases'!I223="In Progress - Administrative","3",IF('Self-Assessment_Cases'!I223="In Progress - Configuration","3",IF('Self-Assessment_Cases'!I223="In Progress - Installation/Upgrade","3",IF('Self-Assessment_Cases'!I223="Not Implemented - Compensating Control","5",IF('Self-Assessment_Cases'!I223="Not Implemented - Risk Negligible","5",IF('Self-Assessment_Cases'!I223="Not Implemented - Risk Accepted","1",IF('Self-Assessment_Cases'!I223="Not Implemented - Planned","1",IF('Self-Assessment_Cases'!I223="Not Implemented - Unplanned","1",".")))))))))</f>
        <v>.</v>
      </c>
      <c r="G223" s="9" t="s">
        <v>567</v>
      </c>
      <c r="H223" s="14" t="s">
        <v>568</v>
      </c>
      <c r="I223" s="92"/>
      <c r="J223" s="93"/>
      <c r="K223" s="85"/>
    </row>
    <row r="224" spans="1:11" s="83" customFormat="1" ht="42" x14ac:dyDescent="0.2">
      <c r="A224" s="72" t="s">
        <v>109</v>
      </c>
      <c r="B224" s="9" t="s">
        <v>352</v>
      </c>
      <c r="C224" s="89" t="s">
        <v>245</v>
      </c>
      <c r="D224" s="89" t="s">
        <v>1161</v>
      </c>
      <c r="E224" s="4" t="s">
        <v>108</v>
      </c>
      <c r="F224" s="8" t="str">
        <f>IF('Self-Assessment_Cases'!I224="Implemented","5",IF('Self-Assessment_Cases'!I224="In Progress - Administrative","3",IF('Self-Assessment_Cases'!I224="In Progress - Configuration","3",IF('Self-Assessment_Cases'!I224="In Progress - Installation/Upgrade","3",IF('Self-Assessment_Cases'!I224="Not Implemented - Compensating Control","5",IF('Self-Assessment_Cases'!I224="Not Implemented - Risk Negligible","5",IF('Self-Assessment_Cases'!I224="Not Implemented - Risk Accepted","1",IF('Self-Assessment_Cases'!I224="Not Implemented - Planned","1",IF('Self-Assessment_Cases'!I224="Not Implemented - Unplanned","1",".")))))))))</f>
        <v>.</v>
      </c>
      <c r="G224" s="11" t="s">
        <v>695</v>
      </c>
      <c r="H224" s="14"/>
      <c r="I224" s="92"/>
      <c r="J224" s="11"/>
      <c r="K224" s="11"/>
    </row>
    <row r="225" spans="1:11" s="83" customFormat="1" ht="70" x14ac:dyDescent="0.2">
      <c r="A225" s="72" t="s">
        <v>111</v>
      </c>
      <c r="B225" s="9" t="s">
        <v>339</v>
      </c>
      <c r="C225" s="89" t="s">
        <v>245</v>
      </c>
      <c r="D225" s="89" t="s">
        <v>1162</v>
      </c>
      <c r="E225" s="4" t="s">
        <v>110</v>
      </c>
      <c r="F225" s="8" t="str">
        <f>IF('Self-Assessment_Cases'!I225="Implemented","5",IF('Self-Assessment_Cases'!I225="In Progress - Administrative","3",IF('Self-Assessment_Cases'!I225="In Progress - Configuration","3",IF('Self-Assessment_Cases'!I225="In Progress - Installation/Upgrade","3",IF('Self-Assessment_Cases'!I225="Not Implemented - Compensating Control","5",IF('Self-Assessment_Cases'!I225="Not Implemented - Risk Negligible","5",IF('Self-Assessment_Cases'!I225="Not Implemented - Risk Accepted","1",IF('Self-Assessment_Cases'!I225="Not Implemented - Planned","1",IF('Self-Assessment_Cases'!I225="Not Implemented - Unplanned","1",".")))))))))</f>
        <v>.</v>
      </c>
      <c r="G225" s="75" t="s">
        <v>345</v>
      </c>
      <c r="H225" s="14" t="s">
        <v>706</v>
      </c>
      <c r="I225" s="92"/>
      <c r="J225" s="11"/>
      <c r="K225" s="75"/>
    </row>
    <row r="226" spans="1:11" s="6" customFormat="1" ht="28" x14ac:dyDescent="0.2">
      <c r="A226" s="4" t="s">
        <v>113</v>
      </c>
      <c r="B226" s="9" t="s">
        <v>315</v>
      </c>
      <c r="C226" s="89" t="s">
        <v>246</v>
      </c>
      <c r="D226" s="89" t="s">
        <v>1163</v>
      </c>
      <c r="E226" s="4" t="s">
        <v>112</v>
      </c>
      <c r="F226" s="8" t="str">
        <f>IF('Self-Assessment_Cases'!I226="Implemented","5",IF('Self-Assessment_Cases'!I226="In Progress - Administrative","3",IF('Self-Assessment_Cases'!I226="In Progress - Configuration","3",IF('Self-Assessment_Cases'!I226="In Progress - Installation/Upgrade","3",IF('Self-Assessment_Cases'!I226="Not Implemented - Compensating Control","5",IF('Self-Assessment_Cases'!I226="Not Implemented - Risk Negligible","5",IF('Self-Assessment_Cases'!I226="Not Implemented - Risk Accepted","1",IF('Self-Assessment_Cases'!I226="Not Implemented - Planned","1",IF('Self-Assessment_Cases'!I226="Not Implemented - Unplanned","1",".")))))))))</f>
        <v>.</v>
      </c>
      <c r="G226" s="9" t="s">
        <v>477</v>
      </c>
      <c r="H226" s="14"/>
      <c r="I226" s="92"/>
      <c r="J226" s="93"/>
      <c r="K226" s="85"/>
    </row>
    <row r="227" spans="1:11" s="6" customFormat="1" ht="28" x14ac:dyDescent="0.2">
      <c r="A227" s="4" t="s">
        <v>113</v>
      </c>
      <c r="B227" s="9" t="s">
        <v>315</v>
      </c>
      <c r="C227" s="89" t="s">
        <v>246</v>
      </c>
      <c r="D227" s="89" t="s">
        <v>803</v>
      </c>
      <c r="E227" s="4" t="s">
        <v>112</v>
      </c>
      <c r="F227" s="8" t="str">
        <f>IF('Self-Assessment_Cases'!I230="Implemented","5",IF('Self-Assessment_Cases'!I230="In Progress - Administrative","3",IF('Self-Assessment_Cases'!I230="In Progress - Configuration","3",IF('Self-Assessment_Cases'!I230="In Progress - Installation/Upgrade","3",IF('Self-Assessment_Cases'!I230="Not Implemented - Compensating Control","5",IF('Self-Assessment_Cases'!I230="Not Implemented - Risk Negligible","5",IF('Self-Assessment_Cases'!I230="Not Implemented - Risk Accepted","1",IF('Self-Assessment_Cases'!I230="Not Implemented - Planned","1",IF('Self-Assessment_Cases'!I230="Not Implemented - Unplanned","1",".")))))))))</f>
        <v>.</v>
      </c>
      <c r="G227" s="9" t="s">
        <v>476</v>
      </c>
      <c r="H227" s="14"/>
      <c r="I227" s="92"/>
      <c r="J227" s="93"/>
      <c r="K227" s="85"/>
    </row>
    <row r="228" spans="1:11" s="6" customFormat="1" ht="28" x14ac:dyDescent="0.2">
      <c r="A228" s="4" t="s">
        <v>113</v>
      </c>
      <c r="B228" s="9" t="s">
        <v>315</v>
      </c>
      <c r="C228" s="89" t="s">
        <v>246</v>
      </c>
      <c r="D228" s="89" t="s">
        <v>881</v>
      </c>
      <c r="E228" s="4" t="s">
        <v>112</v>
      </c>
      <c r="F228" s="8" t="str">
        <f>IF('Self-Assessment_Cases'!I231="Implemented","5",IF('Self-Assessment_Cases'!I231="In Progress - Administrative","3",IF('Self-Assessment_Cases'!I231="In Progress - Configuration","3",IF('Self-Assessment_Cases'!I231="In Progress - Installation/Upgrade","3",IF('Self-Assessment_Cases'!I231="Not Implemented - Compensating Control","5",IF('Self-Assessment_Cases'!I231="Not Implemented - Risk Negligible","5",IF('Self-Assessment_Cases'!I231="Not Implemented - Risk Accepted","1",IF('Self-Assessment_Cases'!I231="Not Implemented - Planned","1",IF('Self-Assessment_Cases'!I231="Not Implemented - Unplanned","1",".")))))))))</f>
        <v>.</v>
      </c>
      <c r="G228" s="9" t="s">
        <v>475</v>
      </c>
      <c r="H228" s="14"/>
      <c r="I228" s="92"/>
      <c r="J228" s="93"/>
      <c r="K228" s="85"/>
    </row>
    <row r="229" spans="1:11" s="6" customFormat="1" ht="28" x14ac:dyDescent="0.2">
      <c r="A229" s="4" t="s">
        <v>113</v>
      </c>
      <c r="B229" s="9" t="s">
        <v>315</v>
      </c>
      <c r="C229" s="89" t="s">
        <v>246</v>
      </c>
      <c r="D229" s="89" t="s">
        <v>945</v>
      </c>
      <c r="E229" s="4" t="s">
        <v>112</v>
      </c>
      <c r="F229" s="8" t="str">
        <f>IF('Self-Assessment_Cases'!I232="Implemented","5",IF('Self-Assessment_Cases'!I232="In Progress - Administrative","3",IF('Self-Assessment_Cases'!I232="In Progress - Configuration","3",IF('Self-Assessment_Cases'!I232="In Progress - Installation/Upgrade","3",IF('Self-Assessment_Cases'!I232="Not Implemented - Compensating Control","5",IF('Self-Assessment_Cases'!I232="Not Implemented - Risk Negligible","5",IF('Self-Assessment_Cases'!I232="Not Implemented - Risk Accepted","1",IF('Self-Assessment_Cases'!I232="Not Implemented - Planned","1",IF('Self-Assessment_Cases'!I232="Not Implemented - Unplanned","1",".")))))))))</f>
        <v>.</v>
      </c>
      <c r="G229" s="9" t="s">
        <v>474</v>
      </c>
      <c r="H229" s="14"/>
      <c r="I229" s="92"/>
      <c r="J229" s="93"/>
      <c r="K229" s="85"/>
    </row>
    <row r="230" spans="1:11" s="6" customFormat="1" ht="28" x14ac:dyDescent="0.2">
      <c r="A230" s="4" t="s">
        <v>113</v>
      </c>
      <c r="B230" s="9" t="s">
        <v>315</v>
      </c>
      <c r="C230" s="89" t="s">
        <v>246</v>
      </c>
      <c r="D230" s="89" t="s">
        <v>990</v>
      </c>
      <c r="E230" s="4" t="s">
        <v>112</v>
      </c>
      <c r="F230" s="8" t="str">
        <f>IF('Self-Assessment_Cases'!I233="Implemented","5",IF('Self-Assessment_Cases'!I233="In Progress - Administrative","3",IF('Self-Assessment_Cases'!I233="In Progress - Configuration","3",IF('Self-Assessment_Cases'!I233="In Progress - Installation/Upgrade","3",IF('Self-Assessment_Cases'!I233="Not Implemented - Compensating Control","5",IF('Self-Assessment_Cases'!I233="Not Implemented - Risk Negligible","5",IF('Self-Assessment_Cases'!I233="Not Implemented - Risk Accepted","1",IF('Self-Assessment_Cases'!I233="Not Implemented - Planned","1",IF('Self-Assessment_Cases'!I233="Not Implemented - Unplanned","1",".")))))))))</f>
        <v>.</v>
      </c>
      <c r="G230" s="9" t="s">
        <v>473</v>
      </c>
      <c r="H230" s="14"/>
      <c r="I230" s="92"/>
      <c r="J230" s="93"/>
      <c r="K230" s="85"/>
    </row>
    <row r="231" spans="1:11" s="6" customFormat="1" ht="28" x14ac:dyDescent="0.2">
      <c r="A231" s="4" t="s">
        <v>113</v>
      </c>
      <c r="B231" s="9" t="s">
        <v>315</v>
      </c>
      <c r="C231" s="89" t="s">
        <v>246</v>
      </c>
      <c r="D231" s="89" t="s">
        <v>1023</v>
      </c>
      <c r="E231" s="4" t="s">
        <v>112</v>
      </c>
      <c r="F231" s="8" t="str">
        <f>IF('Self-Assessment_Cases'!I234="Implemented","5",IF('Self-Assessment_Cases'!I234="In Progress - Administrative","3",IF('Self-Assessment_Cases'!I234="In Progress - Configuration","3",IF('Self-Assessment_Cases'!I234="In Progress - Installation/Upgrade","3",IF('Self-Assessment_Cases'!I234="Not Implemented - Compensating Control","5",IF('Self-Assessment_Cases'!I234="Not Implemented - Risk Negligible","5",IF('Self-Assessment_Cases'!I234="Not Implemented - Risk Accepted","1",IF('Self-Assessment_Cases'!I234="Not Implemented - Planned","1",IF('Self-Assessment_Cases'!I234="Not Implemented - Unplanned","1",".")))))))))</f>
        <v>.</v>
      </c>
      <c r="G231" s="9" t="s">
        <v>714</v>
      </c>
      <c r="H231" s="14"/>
      <c r="I231" s="92"/>
      <c r="J231" s="93"/>
      <c r="K231" s="85"/>
    </row>
    <row r="232" spans="1:11" s="6" customFormat="1" ht="28" x14ac:dyDescent="0.2">
      <c r="A232" s="4" t="s">
        <v>113</v>
      </c>
      <c r="B232" s="9" t="s">
        <v>315</v>
      </c>
      <c r="C232" s="89" t="s">
        <v>246</v>
      </c>
      <c r="D232" s="89" t="s">
        <v>1048</v>
      </c>
      <c r="E232" s="4" t="s">
        <v>112</v>
      </c>
      <c r="F232" s="8" t="str">
        <f>IF('Self-Assessment_Cases'!I235="Implemented","5",IF('Self-Assessment_Cases'!I235="In Progress - Administrative","3",IF('Self-Assessment_Cases'!I235="In Progress - Configuration","3",IF('Self-Assessment_Cases'!I235="In Progress - Installation/Upgrade","3",IF('Self-Assessment_Cases'!I235="Not Implemented - Compensating Control","5",IF('Self-Assessment_Cases'!I235="Not Implemented - Risk Negligible","5",IF('Self-Assessment_Cases'!I235="Not Implemented - Risk Accepted","1",IF('Self-Assessment_Cases'!I235="Not Implemented - Planned","1",IF('Self-Assessment_Cases'!I235="Not Implemented - Unplanned","1",".")))))))))</f>
        <v>.</v>
      </c>
      <c r="G232" s="9" t="s">
        <v>472</v>
      </c>
      <c r="H232" s="14"/>
      <c r="I232" s="92"/>
      <c r="J232" s="93"/>
      <c r="K232" s="85"/>
    </row>
    <row r="233" spans="1:11" s="6" customFormat="1" ht="28" x14ac:dyDescent="0.2">
      <c r="A233" s="4" t="s">
        <v>113</v>
      </c>
      <c r="B233" s="9" t="s">
        <v>315</v>
      </c>
      <c r="C233" s="89" t="s">
        <v>246</v>
      </c>
      <c r="D233" s="89" t="s">
        <v>1070</v>
      </c>
      <c r="E233" s="4" t="s">
        <v>112</v>
      </c>
      <c r="F233" s="8" t="str">
        <f>IF('Self-Assessment_Cases'!I236="Implemented","5",IF('Self-Assessment_Cases'!I236="In Progress - Administrative","3",IF('Self-Assessment_Cases'!I236="In Progress - Configuration","3",IF('Self-Assessment_Cases'!I236="In Progress - Installation/Upgrade","3",IF('Self-Assessment_Cases'!I236="Not Implemented - Compensating Control","5",IF('Self-Assessment_Cases'!I236="Not Implemented - Risk Negligible","5",IF('Self-Assessment_Cases'!I236="Not Implemented - Risk Accepted","1",IF('Self-Assessment_Cases'!I236="Not Implemented - Planned","1",IF('Self-Assessment_Cases'!I236="Not Implemented - Unplanned","1",".")))))))))</f>
        <v>.</v>
      </c>
      <c r="G233" s="9" t="s">
        <v>471</v>
      </c>
      <c r="H233" s="14"/>
      <c r="I233" s="92"/>
      <c r="J233" s="93"/>
      <c r="K233" s="85"/>
    </row>
    <row r="234" spans="1:11" s="6" customFormat="1" ht="28" x14ac:dyDescent="0.2">
      <c r="A234" s="4" t="s">
        <v>113</v>
      </c>
      <c r="B234" s="9" t="s">
        <v>315</v>
      </c>
      <c r="C234" s="89" t="s">
        <v>246</v>
      </c>
      <c r="D234" s="89" t="s">
        <v>1090</v>
      </c>
      <c r="E234" s="4" t="s">
        <v>112</v>
      </c>
      <c r="F234" s="8" t="str">
        <f>IF('Self-Assessment_Cases'!I237="Implemented","5",IF('Self-Assessment_Cases'!I237="In Progress - Administrative","3",IF('Self-Assessment_Cases'!I237="In Progress - Configuration","3",IF('Self-Assessment_Cases'!I237="In Progress - Installation/Upgrade","3",IF('Self-Assessment_Cases'!I237="Not Implemented - Compensating Control","5",IF('Self-Assessment_Cases'!I237="Not Implemented - Risk Negligible","5",IF('Self-Assessment_Cases'!I237="Not Implemented - Risk Accepted","1",IF('Self-Assessment_Cases'!I237="Not Implemented - Planned","1",IF('Self-Assessment_Cases'!I237="Not Implemented - Unplanned","1",".")))))))))</f>
        <v>.</v>
      </c>
      <c r="G234" s="9" t="s">
        <v>470</v>
      </c>
      <c r="H234" s="14"/>
      <c r="I234" s="92"/>
      <c r="J234" s="93"/>
      <c r="K234" s="85"/>
    </row>
    <row r="235" spans="1:11" s="6" customFormat="1" ht="28" x14ac:dyDescent="0.2">
      <c r="A235" s="4" t="s">
        <v>113</v>
      </c>
      <c r="B235" s="9" t="s">
        <v>315</v>
      </c>
      <c r="C235" s="89" t="s">
        <v>246</v>
      </c>
      <c r="D235" s="89" t="s">
        <v>654</v>
      </c>
      <c r="E235" s="4" t="s">
        <v>112</v>
      </c>
      <c r="F235" s="8" t="str">
        <f>IF('Self-Assessment_Cases'!I238="Implemented","5",IF('Self-Assessment_Cases'!I238="In Progress - Administrative","3",IF('Self-Assessment_Cases'!I238="In Progress - Configuration","3",IF('Self-Assessment_Cases'!I238="In Progress - Installation/Upgrade","3",IF('Self-Assessment_Cases'!I238="Not Implemented - Compensating Control","5",IF('Self-Assessment_Cases'!I238="Not Implemented - Risk Negligible","5",IF('Self-Assessment_Cases'!I238="Not Implemented - Risk Accepted","1",IF('Self-Assessment_Cases'!I238="Not Implemented - Planned","1",IF('Self-Assessment_Cases'!I238="Not Implemented - Unplanned","1",".")))))))))</f>
        <v>.</v>
      </c>
      <c r="G235" s="9" t="s">
        <v>466</v>
      </c>
      <c r="H235" s="14"/>
      <c r="I235" s="92"/>
      <c r="J235" s="93"/>
      <c r="K235" s="85"/>
    </row>
    <row r="236" spans="1:11" s="6" customFormat="1" ht="28" x14ac:dyDescent="0.2">
      <c r="A236" s="4" t="s">
        <v>113</v>
      </c>
      <c r="B236" s="9" t="s">
        <v>315</v>
      </c>
      <c r="C236" s="89" t="s">
        <v>246</v>
      </c>
      <c r="D236" s="89" t="s">
        <v>1344</v>
      </c>
      <c r="E236" s="4" t="s">
        <v>112</v>
      </c>
      <c r="F236" s="8" t="str">
        <f>IF('Self-Assessment_Cases'!I227="Implemented","5",IF('Self-Assessment_Cases'!I227="In Progress - Administrative","3",IF('Self-Assessment_Cases'!I227="In Progress - Configuration","3",IF('Self-Assessment_Cases'!I227="In Progress - Installation/Upgrade","3",IF('Self-Assessment_Cases'!I227="Not Implemented - Compensating Control","5",IF('Self-Assessment_Cases'!I227="Not Implemented - Risk Negligible","5",IF('Self-Assessment_Cases'!I227="Not Implemented - Risk Accepted","1",IF('Self-Assessment_Cases'!I227="Not Implemented - Planned","1",IF('Self-Assessment_Cases'!I227="Not Implemented - Unplanned","1",".")))))))))</f>
        <v>.</v>
      </c>
      <c r="G236" s="9" t="s">
        <v>467</v>
      </c>
      <c r="H236" s="14"/>
      <c r="I236" s="92"/>
      <c r="J236" s="93"/>
      <c r="K236" s="85"/>
    </row>
    <row r="237" spans="1:11" s="6" customFormat="1" ht="28" x14ac:dyDescent="0.2">
      <c r="A237" s="4" t="s">
        <v>113</v>
      </c>
      <c r="B237" s="9" t="s">
        <v>315</v>
      </c>
      <c r="C237" s="89" t="s">
        <v>246</v>
      </c>
      <c r="D237" s="89" t="s">
        <v>1345</v>
      </c>
      <c r="E237" s="4" t="s">
        <v>112</v>
      </c>
      <c r="F237" s="8" t="str">
        <f>IF('Self-Assessment_Cases'!I228="Implemented","5",IF('Self-Assessment_Cases'!I228="In Progress - Administrative","3",IF('Self-Assessment_Cases'!I228="In Progress - Configuration","3",IF('Self-Assessment_Cases'!I228="In Progress - Installation/Upgrade","3",IF('Self-Assessment_Cases'!I228="Not Implemented - Compensating Control","5",IF('Self-Assessment_Cases'!I228="Not Implemented - Risk Negligible","5",IF('Self-Assessment_Cases'!I228="Not Implemented - Risk Accepted","1",IF('Self-Assessment_Cases'!I228="Not Implemented - Planned","1",IF('Self-Assessment_Cases'!I228="Not Implemented - Unplanned","1",".")))))))))</f>
        <v>.</v>
      </c>
      <c r="G237" s="9" t="s">
        <v>468</v>
      </c>
      <c r="H237" s="14"/>
      <c r="I237" s="92"/>
      <c r="J237" s="93"/>
      <c r="K237" s="85"/>
    </row>
    <row r="238" spans="1:11" s="6" customFormat="1" ht="28" x14ac:dyDescent="0.2">
      <c r="A238" s="4" t="s">
        <v>113</v>
      </c>
      <c r="B238" s="9" t="s">
        <v>315</v>
      </c>
      <c r="C238" s="89" t="s">
        <v>246</v>
      </c>
      <c r="D238" s="89" t="s">
        <v>1346</v>
      </c>
      <c r="E238" s="4" t="s">
        <v>112</v>
      </c>
      <c r="F238" s="8" t="str">
        <f>IF('Self-Assessment_Cases'!I229="Implemented","5",IF('Self-Assessment_Cases'!I229="In Progress - Administrative","3",IF('Self-Assessment_Cases'!I229="In Progress - Configuration","3",IF('Self-Assessment_Cases'!I229="In Progress - Installation/Upgrade","3",IF('Self-Assessment_Cases'!I229="Not Implemented - Compensating Control","5",IF('Self-Assessment_Cases'!I229="Not Implemented - Risk Negligible","5",IF('Self-Assessment_Cases'!I229="Not Implemented - Risk Accepted","1",IF('Self-Assessment_Cases'!I229="Not Implemented - Planned","1",IF('Self-Assessment_Cases'!I229="Not Implemented - Unplanned","1",".")))))))))</f>
        <v>.</v>
      </c>
      <c r="G238" s="9" t="s">
        <v>469</v>
      </c>
      <c r="H238" s="14"/>
      <c r="I238" s="92"/>
      <c r="J238" s="93"/>
      <c r="K238" s="85"/>
    </row>
    <row r="239" spans="1:11" s="6" customFormat="1" ht="28" x14ac:dyDescent="0.2">
      <c r="A239" s="4" t="s">
        <v>115</v>
      </c>
      <c r="B239" s="9" t="s">
        <v>305</v>
      </c>
      <c r="C239" s="89" t="s">
        <v>246</v>
      </c>
      <c r="D239" s="89" t="s">
        <v>1164</v>
      </c>
      <c r="E239" s="4" t="s">
        <v>114</v>
      </c>
      <c r="F239" s="8" t="str">
        <f>IF('Self-Assessment_Cases'!I239="Implemented","5",IF('Self-Assessment_Cases'!I239="In Progress - Administrative","3",IF('Self-Assessment_Cases'!I239="In Progress - Configuration","3",IF('Self-Assessment_Cases'!I239="In Progress - Installation/Upgrade","3",IF('Self-Assessment_Cases'!I239="Not Implemented - Compensating Control","5",IF('Self-Assessment_Cases'!I239="Not Implemented - Risk Negligible","5",IF('Self-Assessment_Cases'!I239="Not Implemented - Risk Accepted","1",IF('Self-Assessment_Cases'!I239="Not Implemented - Planned","1",IF('Self-Assessment_Cases'!I239="Not Implemented - Unplanned","1",".")))))))))</f>
        <v>.</v>
      </c>
      <c r="G239" s="9" t="s">
        <v>1335</v>
      </c>
      <c r="H239" s="14"/>
      <c r="I239" s="92"/>
      <c r="J239" s="93"/>
      <c r="K239" s="85"/>
    </row>
    <row r="240" spans="1:11" s="6" customFormat="1" ht="28" x14ac:dyDescent="0.2">
      <c r="A240" s="4" t="s">
        <v>115</v>
      </c>
      <c r="B240" s="9" t="s">
        <v>305</v>
      </c>
      <c r="C240" s="89" t="s">
        <v>246</v>
      </c>
      <c r="D240" s="89" t="s">
        <v>804</v>
      </c>
      <c r="E240" s="4" t="s">
        <v>114</v>
      </c>
      <c r="F240" s="8" t="str">
        <f>IF('Self-Assessment_Cases'!I240="Implemented","5",IF('Self-Assessment_Cases'!I240="In Progress - Administrative","3",IF('Self-Assessment_Cases'!I240="In Progress - Configuration","3",IF('Self-Assessment_Cases'!I240="In Progress - Installation/Upgrade","3",IF('Self-Assessment_Cases'!I240="Not Implemented - Compensating Control","5",IF('Self-Assessment_Cases'!I240="Not Implemented - Risk Negligible","5",IF('Self-Assessment_Cases'!I240="Not Implemented - Risk Accepted","1",IF('Self-Assessment_Cases'!I240="Not Implemented - Planned","1",IF('Self-Assessment_Cases'!I240="Not Implemented - Unplanned","1",".")))))))))</f>
        <v>.</v>
      </c>
      <c r="G240" s="13" t="s">
        <v>1336</v>
      </c>
      <c r="H240" s="14"/>
      <c r="I240" s="92"/>
      <c r="J240" s="93"/>
      <c r="K240" s="85"/>
    </row>
    <row r="241" spans="1:11" s="6" customFormat="1" ht="28" x14ac:dyDescent="0.2">
      <c r="A241" s="4" t="s">
        <v>115</v>
      </c>
      <c r="B241" s="9" t="s">
        <v>305</v>
      </c>
      <c r="C241" s="89" t="s">
        <v>246</v>
      </c>
      <c r="D241" s="89" t="s">
        <v>882</v>
      </c>
      <c r="E241" s="4" t="s">
        <v>114</v>
      </c>
      <c r="F241" s="8" t="str">
        <f>IF('Self-Assessment_Cases'!I241="Implemented","5",IF('Self-Assessment_Cases'!I241="In Progress - Administrative","3",IF('Self-Assessment_Cases'!I241="In Progress - Configuration","3",IF('Self-Assessment_Cases'!I241="In Progress - Installation/Upgrade","3",IF('Self-Assessment_Cases'!I241="Not Implemented - Compensating Control","5",IF('Self-Assessment_Cases'!I241="Not Implemented - Risk Negligible","5",IF('Self-Assessment_Cases'!I241="Not Implemented - Risk Accepted","1",IF('Self-Assessment_Cases'!I241="Not Implemented - Planned","1",IF('Self-Assessment_Cases'!I241="Not Implemented - Unplanned","1",".")))))))))</f>
        <v>.</v>
      </c>
      <c r="G241" s="13" t="s">
        <v>1337</v>
      </c>
      <c r="H241" s="14"/>
      <c r="I241" s="92"/>
      <c r="J241" s="93"/>
      <c r="K241" s="85"/>
    </row>
    <row r="242" spans="1:11" s="6" customFormat="1" ht="28" x14ac:dyDescent="0.2">
      <c r="A242" s="4" t="s">
        <v>115</v>
      </c>
      <c r="B242" s="9" t="s">
        <v>305</v>
      </c>
      <c r="C242" s="89" t="s">
        <v>246</v>
      </c>
      <c r="D242" s="89" t="s">
        <v>946</v>
      </c>
      <c r="E242" s="4" t="s">
        <v>114</v>
      </c>
      <c r="F242" s="8" t="str">
        <f>IF('Self-Assessment_Cases'!I242="Implemented","5",IF('Self-Assessment_Cases'!I242="In Progress - Administrative","3",IF('Self-Assessment_Cases'!I242="In Progress - Configuration","3",IF('Self-Assessment_Cases'!I242="In Progress - Installation/Upgrade","3",IF('Self-Assessment_Cases'!I242="Not Implemented - Compensating Control","5",IF('Self-Assessment_Cases'!I242="Not Implemented - Risk Negligible","5",IF('Self-Assessment_Cases'!I242="Not Implemented - Risk Accepted","1",IF('Self-Assessment_Cases'!I242="Not Implemented - Planned","1",IF('Self-Assessment_Cases'!I242="Not Implemented - Unplanned","1",".")))))))))</f>
        <v>.</v>
      </c>
      <c r="G242" s="9" t="s">
        <v>1338</v>
      </c>
      <c r="H242" s="14"/>
      <c r="I242" s="92"/>
      <c r="J242" s="93"/>
      <c r="K242" s="85"/>
    </row>
    <row r="243" spans="1:11" s="6" customFormat="1" ht="28" x14ac:dyDescent="0.2">
      <c r="A243" s="4" t="s">
        <v>115</v>
      </c>
      <c r="B243" s="9" t="s">
        <v>305</v>
      </c>
      <c r="C243" s="89" t="s">
        <v>246</v>
      </c>
      <c r="D243" s="89" t="s">
        <v>991</v>
      </c>
      <c r="E243" s="4" t="s">
        <v>114</v>
      </c>
      <c r="F243" s="8" t="str">
        <f>IF('Self-Assessment_Cases'!I243="Implemented","5",IF('Self-Assessment_Cases'!I243="In Progress - Administrative","3",IF('Self-Assessment_Cases'!I243="In Progress - Configuration","3",IF('Self-Assessment_Cases'!I243="In Progress - Installation/Upgrade","3",IF('Self-Assessment_Cases'!I243="Not Implemented - Compensating Control","5",IF('Self-Assessment_Cases'!I243="Not Implemented - Risk Negligible","5",IF('Self-Assessment_Cases'!I243="Not Implemented - Risk Accepted","1",IF('Self-Assessment_Cases'!I243="Not Implemented - Planned","1",IF('Self-Assessment_Cases'!I243="Not Implemented - Unplanned","1",".")))))))))</f>
        <v>.</v>
      </c>
      <c r="G243" s="13" t="s">
        <v>1339</v>
      </c>
      <c r="H243" s="14"/>
      <c r="I243" s="92"/>
      <c r="J243" s="93"/>
      <c r="K243" s="85"/>
    </row>
    <row r="244" spans="1:11" s="6" customFormat="1" ht="28" x14ac:dyDescent="0.2">
      <c r="A244" s="4" t="s">
        <v>115</v>
      </c>
      <c r="B244" s="9" t="s">
        <v>305</v>
      </c>
      <c r="C244" s="89" t="s">
        <v>246</v>
      </c>
      <c r="D244" s="89" t="s">
        <v>1024</v>
      </c>
      <c r="E244" s="4" t="s">
        <v>114</v>
      </c>
      <c r="F244" s="8" t="str">
        <f>IF('Self-Assessment_Cases'!I244="Implemented","5",IF('Self-Assessment_Cases'!I244="In Progress - Administrative","3",IF('Self-Assessment_Cases'!I244="In Progress - Configuration","3",IF('Self-Assessment_Cases'!I244="In Progress - Installation/Upgrade","3",IF('Self-Assessment_Cases'!I244="Not Implemented - Compensating Control","5",IF('Self-Assessment_Cases'!I244="Not Implemented - Risk Negligible","5",IF('Self-Assessment_Cases'!I244="Not Implemented - Risk Accepted","1",IF('Self-Assessment_Cases'!I244="Not Implemented - Planned","1",IF('Self-Assessment_Cases'!I244="Not Implemented - Unplanned","1",".")))))))))</f>
        <v>.</v>
      </c>
      <c r="G244" s="13" t="s">
        <v>1340</v>
      </c>
      <c r="H244" s="14"/>
      <c r="I244" s="92"/>
      <c r="J244" s="93"/>
      <c r="K244" s="85"/>
    </row>
    <row r="245" spans="1:11" s="6" customFormat="1" ht="42" x14ac:dyDescent="0.2">
      <c r="A245" s="4" t="s">
        <v>115</v>
      </c>
      <c r="B245" s="9" t="s">
        <v>305</v>
      </c>
      <c r="C245" s="89" t="s">
        <v>246</v>
      </c>
      <c r="D245" s="89" t="s">
        <v>1049</v>
      </c>
      <c r="E245" s="4" t="s">
        <v>114</v>
      </c>
      <c r="F245" s="8" t="str">
        <f>IF('Self-Assessment_Cases'!I245="Implemented","5",IF('Self-Assessment_Cases'!I245="In Progress - Administrative","3",IF('Self-Assessment_Cases'!I245="In Progress - Configuration","3",IF('Self-Assessment_Cases'!I245="In Progress - Installation/Upgrade","3",IF('Self-Assessment_Cases'!I245="Not Implemented - Compensating Control","5",IF('Self-Assessment_Cases'!I245="Not Implemented - Risk Negligible","5",IF('Self-Assessment_Cases'!I245="Not Implemented - Risk Accepted","1",IF('Self-Assessment_Cases'!I245="Not Implemented - Planned","1",IF('Self-Assessment_Cases'!I245="Not Implemented - Unplanned","1",".")))))))))</f>
        <v>.</v>
      </c>
      <c r="G245" s="13" t="s">
        <v>1341</v>
      </c>
      <c r="H245" s="14"/>
      <c r="I245" s="92"/>
      <c r="J245" s="93"/>
      <c r="K245" s="85"/>
    </row>
    <row r="246" spans="1:11" s="6" customFormat="1" ht="42" x14ac:dyDescent="0.2">
      <c r="A246" s="4" t="s">
        <v>115</v>
      </c>
      <c r="B246" s="9" t="s">
        <v>305</v>
      </c>
      <c r="C246" s="89" t="s">
        <v>246</v>
      </c>
      <c r="D246" s="89" t="s">
        <v>1071</v>
      </c>
      <c r="E246" s="4" t="s">
        <v>114</v>
      </c>
      <c r="F246" s="8" t="str">
        <f>IF('Self-Assessment_Cases'!I246="Implemented","5",IF('Self-Assessment_Cases'!I246="In Progress - Administrative","3",IF('Self-Assessment_Cases'!I246="In Progress - Configuration","3",IF('Self-Assessment_Cases'!I246="In Progress - Installation/Upgrade","3",IF('Self-Assessment_Cases'!I246="Not Implemented - Compensating Control","5",IF('Self-Assessment_Cases'!I246="Not Implemented - Risk Negligible","5",IF('Self-Assessment_Cases'!I246="Not Implemented - Risk Accepted","1",IF('Self-Assessment_Cases'!I246="Not Implemented - Planned","1",IF('Self-Assessment_Cases'!I246="Not Implemented - Unplanned","1",".")))))))))</f>
        <v>.</v>
      </c>
      <c r="G246" s="13" t="s">
        <v>1342</v>
      </c>
      <c r="H246" s="14"/>
      <c r="I246" s="92"/>
      <c r="J246" s="93"/>
      <c r="K246" s="85"/>
    </row>
    <row r="247" spans="1:11" s="6" customFormat="1" ht="42" x14ac:dyDescent="0.2">
      <c r="A247" s="4" t="s">
        <v>115</v>
      </c>
      <c r="B247" s="9" t="s">
        <v>305</v>
      </c>
      <c r="C247" s="89" t="s">
        <v>246</v>
      </c>
      <c r="D247" s="89" t="s">
        <v>1091</v>
      </c>
      <c r="E247" s="4" t="s">
        <v>114</v>
      </c>
      <c r="F247" s="8" t="str">
        <f>IF('Self-Assessment_Cases'!I247="Implemented","5",IF('Self-Assessment_Cases'!I247="In Progress - Administrative","3",IF('Self-Assessment_Cases'!I247="In Progress - Configuration","3",IF('Self-Assessment_Cases'!I247="In Progress - Installation/Upgrade","3",IF('Self-Assessment_Cases'!I247="Not Implemented - Compensating Control","5",IF('Self-Assessment_Cases'!I247="Not Implemented - Risk Negligible","5",IF('Self-Assessment_Cases'!I247="Not Implemented - Risk Accepted","1",IF('Self-Assessment_Cases'!I247="Not Implemented - Planned","1",IF('Self-Assessment_Cases'!I247="Not Implemented - Unplanned","1",".")))))))))</f>
        <v>.</v>
      </c>
      <c r="G247" s="13" t="s">
        <v>389</v>
      </c>
      <c r="H247" s="14"/>
      <c r="I247" s="92"/>
      <c r="J247" s="93"/>
      <c r="K247" s="85"/>
    </row>
    <row r="248" spans="1:11" s="6" customFormat="1" ht="42" x14ac:dyDescent="0.2">
      <c r="A248" s="4" t="s">
        <v>115</v>
      </c>
      <c r="B248" s="9" t="s">
        <v>305</v>
      </c>
      <c r="C248" s="89" t="s">
        <v>246</v>
      </c>
      <c r="D248" s="89" t="s">
        <v>1343</v>
      </c>
      <c r="E248" s="4" t="s">
        <v>114</v>
      </c>
      <c r="F248" s="8" t="str">
        <f>IF('Self-Assessment_Cases'!I248="Implemented","5",IF('Self-Assessment_Cases'!I248="In Progress - Administrative","3",IF('Self-Assessment_Cases'!I248="In Progress - Configuration","3",IF('Self-Assessment_Cases'!I248="In Progress - Installation/Upgrade","3",IF('Self-Assessment_Cases'!I248="Not Implemented - Compensating Control","5",IF('Self-Assessment_Cases'!I248="Not Implemented - Risk Negligible","5",IF('Self-Assessment_Cases'!I248="Not Implemented - Risk Accepted","1",IF('Self-Assessment_Cases'!I248="Not Implemented - Planned","1",IF('Self-Assessment_Cases'!I248="Not Implemented - Unplanned","1",".")))))))))</f>
        <v>.</v>
      </c>
      <c r="G248" s="13" t="s">
        <v>390</v>
      </c>
      <c r="H248" s="14"/>
      <c r="I248" s="92"/>
      <c r="J248" s="93"/>
      <c r="K248" s="85"/>
    </row>
    <row r="249" spans="1:11" s="6" customFormat="1" ht="42" x14ac:dyDescent="0.2">
      <c r="A249" s="4" t="s">
        <v>117</v>
      </c>
      <c r="B249" s="9" t="s">
        <v>306</v>
      </c>
      <c r="C249" s="89" t="s">
        <v>246</v>
      </c>
      <c r="D249" s="89" t="s">
        <v>1165</v>
      </c>
      <c r="E249" s="4" t="s">
        <v>116</v>
      </c>
      <c r="F249" s="8" t="str">
        <f>IF('Self-Assessment_Cases'!I249="Implemented","5",IF('Self-Assessment_Cases'!I249="In Progress - Administrative","3",IF('Self-Assessment_Cases'!I249="In Progress - Configuration","3",IF('Self-Assessment_Cases'!I249="In Progress - Installation/Upgrade","3",IF('Self-Assessment_Cases'!I249="Not Implemented - Compensating Control","5",IF('Self-Assessment_Cases'!I249="Not Implemented - Risk Negligible","5",IF('Self-Assessment_Cases'!I249="Not Implemented - Risk Accepted","1",IF('Self-Assessment_Cases'!I249="Not Implemented - Planned","1",IF('Self-Assessment_Cases'!I249="Not Implemented - Unplanned","1",".")))))))))</f>
        <v>.</v>
      </c>
      <c r="G249" s="13" t="s">
        <v>515</v>
      </c>
      <c r="H249" s="14"/>
      <c r="I249" s="92"/>
      <c r="J249" s="93"/>
      <c r="K249" s="85"/>
    </row>
    <row r="250" spans="1:11" s="6" customFormat="1" ht="42" x14ac:dyDescent="0.2">
      <c r="A250" s="4" t="s">
        <v>117</v>
      </c>
      <c r="B250" s="9" t="s">
        <v>306</v>
      </c>
      <c r="C250" s="89" t="s">
        <v>246</v>
      </c>
      <c r="D250" s="89" t="s">
        <v>805</v>
      </c>
      <c r="E250" s="4" t="s">
        <v>116</v>
      </c>
      <c r="F250" s="8" t="str">
        <f>IF('Self-Assessment_Cases'!I250="Implemented","5",IF('Self-Assessment_Cases'!I250="In Progress - Administrative","3",IF('Self-Assessment_Cases'!I250="In Progress - Configuration","3",IF('Self-Assessment_Cases'!I250="In Progress - Installation/Upgrade","3",IF('Self-Assessment_Cases'!I250="Not Implemented - Compensating Control","5",IF('Self-Assessment_Cases'!I250="Not Implemented - Risk Negligible","5",IF('Self-Assessment_Cases'!I250="Not Implemented - Risk Accepted","1",IF('Self-Assessment_Cases'!I250="Not Implemented - Planned","1",IF('Self-Assessment_Cases'!I250="Not Implemented - Unplanned","1",".")))))))))</f>
        <v>.</v>
      </c>
      <c r="G250" s="13" t="s">
        <v>514</v>
      </c>
      <c r="H250" s="14"/>
      <c r="I250" s="92"/>
      <c r="J250" s="93"/>
      <c r="K250" s="85"/>
    </row>
    <row r="251" spans="1:11" s="6" customFormat="1" ht="42" x14ac:dyDescent="0.2">
      <c r="A251" s="4" t="s">
        <v>117</v>
      </c>
      <c r="B251" s="9" t="s">
        <v>306</v>
      </c>
      <c r="C251" s="89" t="s">
        <v>246</v>
      </c>
      <c r="D251" s="89" t="s">
        <v>883</v>
      </c>
      <c r="E251" s="4" t="s">
        <v>116</v>
      </c>
      <c r="F251" s="8" t="str">
        <f>IF('Self-Assessment_Cases'!I251="Implemented","5",IF('Self-Assessment_Cases'!I251="In Progress - Administrative","3",IF('Self-Assessment_Cases'!I251="In Progress - Configuration","3",IF('Self-Assessment_Cases'!I251="In Progress - Installation/Upgrade","3",IF('Self-Assessment_Cases'!I251="Not Implemented - Compensating Control","5",IF('Self-Assessment_Cases'!I251="Not Implemented - Risk Negligible","5",IF('Self-Assessment_Cases'!I251="Not Implemented - Risk Accepted","1",IF('Self-Assessment_Cases'!I251="Not Implemented - Planned","1",IF('Self-Assessment_Cases'!I251="Not Implemented - Unplanned","1",".")))))))))</f>
        <v>.</v>
      </c>
      <c r="G251" s="13" t="s">
        <v>513</v>
      </c>
      <c r="H251" s="14"/>
      <c r="I251" s="92"/>
      <c r="J251" s="93"/>
      <c r="K251" s="85"/>
    </row>
    <row r="252" spans="1:11" s="6" customFormat="1" ht="42" x14ac:dyDescent="0.2">
      <c r="A252" s="4" t="s">
        <v>117</v>
      </c>
      <c r="B252" s="9" t="s">
        <v>306</v>
      </c>
      <c r="C252" s="89" t="s">
        <v>246</v>
      </c>
      <c r="D252" s="89" t="s">
        <v>947</v>
      </c>
      <c r="E252" s="4" t="s">
        <v>116</v>
      </c>
      <c r="F252" s="8" t="str">
        <f>IF('Self-Assessment_Cases'!I252="Implemented","5",IF('Self-Assessment_Cases'!I252="In Progress - Administrative","3",IF('Self-Assessment_Cases'!I252="In Progress - Configuration","3",IF('Self-Assessment_Cases'!I252="In Progress - Installation/Upgrade","3",IF('Self-Assessment_Cases'!I252="Not Implemented - Compensating Control","5",IF('Self-Assessment_Cases'!I252="Not Implemented - Risk Negligible","5",IF('Self-Assessment_Cases'!I252="Not Implemented - Risk Accepted","1",IF('Self-Assessment_Cases'!I252="Not Implemented - Planned","1",IF('Self-Assessment_Cases'!I252="Not Implemented - Unplanned","1",".")))))))))</f>
        <v>.</v>
      </c>
      <c r="G252" s="13" t="s">
        <v>715</v>
      </c>
      <c r="H252" s="14"/>
      <c r="I252" s="92"/>
      <c r="J252" s="93"/>
      <c r="K252" s="85"/>
    </row>
    <row r="253" spans="1:11" s="6" customFormat="1" ht="28" x14ac:dyDescent="0.2">
      <c r="A253" s="4" t="s">
        <v>117</v>
      </c>
      <c r="B253" s="9" t="s">
        <v>306</v>
      </c>
      <c r="C253" s="89" t="s">
        <v>246</v>
      </c>
      <c r="D253" s="89" t="s">
        <v>992</v>
      </c>
      <c r="E253" s="4" t="s">
        <v>116</v>
      </c>
      <c r="F253" s="8" t="str">
        <f>IF('Self-Assessment_Cases'!I253="Implemented","5",IF('Self-Assessment_Cases'!I253="In Progress - Administrative","3",IF('Self-Assessment_Cases'!I253="In Progress - Configuration","3",IF('Self-Assessment_Cases'!I253="In Progress - Installation/Upgrade","3",IF('Self-Assessment_Cases'!I253="Not Implemented - Compensating Control","5",IF('Self-Assessment_Cases'!I253="Not Implemented - Risk Negligible","5",IF('Self-Assessment_Cases'!I253="Not Implemented - Risk Accepted","1",IF('Self-Assessment_Cases'!I253="Not Implemented - Planned","1",IF('Self-Assessment_Cases'!I253="Not Implemented - Unplanned","1",".")))))))))</f>
        <v>.</v>
      </c>
      <c r="G253" s="9" t="s">
        <v>512</v>
      </c>
      <c r="H253" s="14"/>
      <c r="I253" s="92"/>
      <c r="J253" s="93"/>
      <c r="K253" s="85"/>
    </row>
    <row r="254" spans="1:11" s="6" customFormat="1" ht="28" x14ac:dyDescent="0.2">
      <c r="A254" s="4" t="s">
        <v>119</v>
      </c>
      <c r="B254" s="9" t="s">
        <v>307</v>
      </c>
      <c r="C254" s="89" t="s">
        <v>247</v>
      </c>
      <c r="D254" s="89" t="s">
        <v>1166</v>
      </c>
      <c r="E254" s="4" t="s">
        <v>118</v>
      </c>
      <c r="F254" s="8" t="str">
        <f>IF('Self-Assessment_Cases'!I254="Implemented","5",IF('Self-Assessment_Cases'!I254="In Progress - Administrative","3",IF('Self-Assessment_Cases'!I254="In Progress - Configuration","3",IF('Self-Assessment_Cases'!I254="In Progress - Installation/Upgrade","3",IF('Self-Assessment_Cases'!I254="Not Implemented - Compensating Control","5",IF('Self-Assessment_Cases'!I254="Not Implemented - Risk Negligible","5",IF('Self-Assessment_Cases'!I254="Not Implemented - Risk Accepted","1",IF('Self-Assessment_Cases'!I254="Not Implemented - Planned","1",IF('Self-Assessment_Cases'!I254="Not Implemented - Unplanned","1",".")))))))))</f>
        <v>.</v>
      </c>
      <c r="G254" s="9" t="s">
        <v>626</v>
      </c>
      <c r="H254" s="14"/>
      <c r="I254" s="92"/>
      <c r="J254" s="14"/>
      <c r="K254" s="9"/>
    </row>
    <row r="255" spans="1:11" s="6" customFormat="1" ht="42" x14ac:dyDescent="0.2">
      <c r="A255" s="4" t="s">
        <v>119</v>
      </c>
      <c r="B255" s="9" t="s">
        <v>307</v>
      </c>
      <c r="C255" s="89" t="s">
        <v>247</v>
      </c>
      <c r="D255" s="89" t="s">
        <v>806</v>
      </c>
      <c r="E255" s="4" t="s">
        <v>118</v>
      </c>
      <c r="F255" s="8" t="str">
        <f>IF('Self-Assessment_Cases'!I255="Implemented","5",IF('Self-Assessment_Cases'!I255="In Progress - Administrative","3",IF('Self-Assessment_Cases'!I255="In Progress - Configuration","3",IF('Self-Assessment_Cases'!I255="In Progress - Installation/Upgrade","3",IF('Self-Assessment_Cases'!I255="Not Implemented - Compensating Control","5",IF('Self-Assessment_Cases'!I255="Not Implemented - Risk Negligible","5",IF('Self-Assessment_Cases'!I255="Not Implemented - Risk Accepted","1",IF('Self-Assessment_Cases'!I255="Not Implemented - Planned","1",IF('Self-Assessment_Cases'!I255="Not Implemented - Unplanned","1",".")))))))))</f>
        <v>.</v>
      </c>
      <c r="G255" s="9" t="s">
        <v>625</v>
      </c>
      <c r="H255" s="14"/>
      <c r="I255" s="92"/>
      <c r="J255" s="14"/>
      <c r="K255" s="9"/>
    </row>
    <row r="256" spans="1:11" s="6" customFormat="1" ht="42" x14ac:dyDescent="0.2">
      <c r="A256" s="4" t="s">
        <v>121</v>
      </c>
      <c r="B256" s="9" t="s">
        <v>308</v>
      </c>
      <c r="C256" s="89" t="s">
        <v>247</v>
      </c>
      <c r="D256" s="89" t="s">
        <v>1167</v>
      </c>
      <c r="E256" s="4" t="s">
        <v>120</v>
      </c>
      <c r="F256" s="8" t="str">
        <f>IF('Self-Assessment_Cases'!I256="Implemented","5",IF('Self-Assessment_Cases'!I256="In Progress - Administrative","3",IF('Self-Assessment_Cases'!I256="In Progress - Configuration","3",IF('Self-Assessment_Cases'!I256="In Progress - Installation/Upgrade","3",IF('Self-Assessment_Cases'!I256="Not Implemented - Compensating Control","5",IF('Self-Assessment_Cases'!I256="Not Implemented - Risk Negligible","5",IF('Self-Assessment_Cases'!I256="Not Implemented - Risk Accepted","1",IF('Self-Assessment_Cases'!I256="Not Implemented - Planned","1",IF('Self-Assessment_Cases'!I256="Not Implemented - Unplanned","1",".")))))))))</f>
        <v>.</v>
      </c>
      <c r="G256" s="9" t="s">
        <v>591</v>
      </c>
      <c r="H256" s="14"/>
      <c r="I256" s="92"/>
      <c r="J256" s="14"/>
      <c r="K256" s="9"/>
    </row>
    <row r="257" spans="1:11" s="6" customFormat="1" ht="28" x14ac:dyDescent="0.2">
      <c r="A257" s="4" t="s">
        <v>121</v>
      </c>
      <c r="B257" s="9" t="s">
        <v>308</v>
      </c>
      <c r="C257" s="89" t="s">
        <v>247</v>
      </c>
      <c r="D257" s="89" t="s">
        <v>807</v>
      </c>
      <c r="E257" s="4" t="s">
        <v>120</v>
      </c>
      <c r="F257" s="8" t="str">
        <f>IF('Self-Assessment_Cases'!I257="Implemented","5",IF('Self-Assessment_Cases'!I257="In Progress - Administrative","3",IF('Self-Assessment_Cases'!I257="In Progress - Configuration","3",IF('Self-Assessment_Cases'!I257="In Progress - Installation/Upgrade","3",IF('Self-Assessment_Cases'!I257="Not Implemented - Compensating Control","5",IF('Self-Assessment_Cases'!I257="Not Implemented - Risk Negligible","5",IF('Self-Assessment_Cases'!I257="Not Implemented - Risk Accepted","1",IF('Self-Assessment_Cases'!I257="Not Implemented - Planned","1",IF('Self-Assessment_Cases'!I257="Not Implemented - Unplanned","1",".")))))))))</f>
        <v>.</v>
      </c>
      <c r="G257" s="9" t="s">
        <v>592</v>
      </c>
      <c r="H257" s="14"/>
      <c r="I257" s="92"/>
      <c r="J257" s="14"/>
      <c r="K257" s="9"/>
    </row>
    <row r="258" spans="1:11" s="6" customFormat="1" ht="42" x14ac:dyDescent="0.2">
      <c r="A258" s="4" t="s">
        <v>121</v>
      </c>
      <c r="B258" s="9" t="s">
        <v>308</v>
      </c>
      <c r="C258" s="89" t="s">
        <v>247</v>
      </c>
      <c r="D258" s="89" t="s">
        <v>884</v>
      </c>
      <c r="E258" s="4" t="s">
        <v>120</v>
      </c>
      <c r="F258" s="8" t="str">
        <f>IF('Self-Assessment_Cases'!I258="Implemented","5",IF('Self-Assessment_Cases'!I258="In Progress - Administrative","3",IF('Self-Assessment_Cases'!I258="In Progress - Configuration","3",IF('Self-Assessment_Cases'!I258="In Progress - Installation/Upgrade","3",IF('Self-Assessment_Cases'!I258="Not Implemented - Compensating Control","5",IF('Self-Assessment_Cases'!I258="Not Implemented - Risk Negligible","5",IF('Self-Assessment_Cases'!I258="Not Implemented - Risk Accepted","1",IF('Self-Assessment_Cases'!I258="Not Implemented - Planned","1",IF('Self-Assessment_Cases'!I258="Not Implemented - Unplanned","1",".")))))))))</f>
        <v>.</v>
      </c>
      <c r="G258" s="9" t="s">
        <v>593</v>
      </c>
      <c r="H258" s="14"/>
      <c r="I258" s="92"/>
      <c r="J258" s="14"/>
      <c r="K258" s="9"/>
    </row>
    <row r="259" spans="1:11" s="6" customFormat="1" ht="56" x14ac:dyDescent="0.2">
      <c r="A259" s="4" t="s">
        <v>121</v>
      </c>
      <c r="B259" s="9" t="s">
        <v>308</v>
      </c>
      <c r="C259" s="89" t="s">
        <v>247</v>
      </c>
      <c r="D259" s="89" t="s">
        <v>948</v>
      </c>
      <c r="E259" s="4" t="s">
        <v>120</v>
      </c>
      <c r="F259" s="8" t="str">
        <f>IF('Self-Assessment_Cases'!I259="Implemented","5",IF('Self-Assessment_Cases'!I259="In Progress - Administrative","3",IF('Self-Assessment_Cases'!I259="In Progress - Configuration","3",IF('Self-Assessment_Cases'!I259="In Progress - Installation/Upgrade","3",IF('Self-Assessment_Cases'!I259="Not Implemented - Compensating Control","5",IF('Self-Assessment_Cases'!I259="Not Implemented - Risk Negligible","5",IF('Self-Assessment_Cases'!I259="Not Implemented - Risk Accepted","1",IF('Self-Assessment_Cases'!I259="Not Implemented - Planned","1",IF('Self-Assessment_Cases'!I259="Not Implemented - Unplanned","1",".")))))))))</f>
        <v>.</v>
      </c>
      <c r="G259" s="9" t="s">
        <v>594</v>
      </c>
      <c r="H259" s="14"/>
      <c r="I259" s="92"/>
      <c r="J259" s="14"/>
      <c r="K259" s="9"/>
    </row>
    <row r="260" spans="1:11" s="6" customFormat="1" ht="56" x14ac:dyDescent="0.2">
      <c r="A260" s="4" t="s">
        <v>121</v>
      </c>
      <c r="B260" s="9" t="s">
        <v>308</v>
      </c>
      <c r="C260" s="89" t="s">
        <v>247</v>
      </c>
      <c r="D260" s="89" t="s">
        <v>993</v>
      </c>
      <c r="E260" s="4" t="s">
        <v>120</v>
      </c>
      <c r="F260" s="8" t="str">
        <f>IF('Self-Assessment_Cases'!I260="Implemented","5",IF('Self-Assessment_Cases'!I260="In Progress - Administrative","3",IF('Self-Assessment_Cases'!I260="In Progress - Configuration","3",IF('Self-Assessment_Cases'!I260="In Progress - Installation/Upgrade","3",IF('Self-Assessment_Cases'!I260="Not Implemented - Compensating Control","5",IF('Self-Assessment_Cases'!I260="Not Implemented - Risk Negligible","5",IF('Self-Assessment_Cases'!I260="Not Implemented - Risk Accepted","1",IF('Self-Assessment_Cases'!I260="Not Implemented - Planned","1",IF('Self-Assessment_Cases'!I260="Not Implemented - Unplanned","1",".")))))))))</f>
        <v>.</v>
      </c>
      <c r="G260" s="9" t="s">
        <v>716</v>
      </c>
      <c r="H260" s="14"/>
      <c r="I260" s="92"/>
      <c r="J260" s="14"/>
      <c r="K260" s="9"/>
    </row>
    <row r="261" spans="1:11" s="6" customFormat="1" ht="56" x14ac:dyDescent="0.2">
      <c r="A261" s="4" t="s">
        <v>123</v>
      </c>
      <c r="B261" s="9" t="s">
        <v>309</v>
      </c>
      <c r="C261" s="89" t="s">
        <v>246</v>
      </c>
      <c r="D261" s="89" t="s">
        <v>1168</v>
      </c>
      <c r="E261" s="4" t="s">
        <v>122</v>
      </c>
      <c r="F261" s="8" t="str">
        <f>IF('Self-Assessment_Cases'!I261="Implemented","5",IF('Self-Assessment_Cases'!I261="In Progress - Administrative","3",IF('Self-Assessment_Cases'!I261="In Progress - Configuration","3",IF('Self-Assessment_Cases'!I261="In Progress - Installation/Upgrade","3",IF('Self-Assessment_Cases'!I261="Not Implemented - Compensating Control","5",IF('Self-Assessment_Cases'!I261="Not Implemented - Risk Negligible","5",IF('Self-Assessment_Cases'!I261="Not Implemented - Risk Accepted","1",IF('Self-Assessment_Cases'!I261="Not Implemented - Planned","1",IF('Self-Assessment_Cases'!I261="Not Implemented - Unplanned","1",".")))))))))</f>
        <v>.</v>
      </c>
      <c r="G261" s="9" t="s">
        <v>717</v>
      </c>
      <c r="H261" s="14"/>
      <c r="I261" s="92"/>
      <c r="J261" s="93"/>
      <c r="K261" s="85"/>
    </row>
    <row r="262" spans="1:11" s="6" customFormat="1" ht="42" x14ac:dyDescent="0.2">
      <c r="A262" s="4" t="s">
        <v>123</v>
      </c>
      <c r="B262" s="9" t="s">
        <v>309</v>
      </c>
      <c r="C262" s="89" t="s">
        <v>246</v>
      </c>
      <c r="D262" s="89" t="s">
        <v>808</v>
      </c>
      <c r="E262" s="4" t="s">
        <v>122</v>
      </c>
      <c r="F262" s="8" t="str">
        <f>IF('Self-Assessment_Cases'!I262="Implemented","5",IF('Self-Assessment_Cases'!I262="In Progress - Administrative","3",IF('Self-Assessment_Cases'!I262="In Progress - Configuration","3",IF('Self-Assessment_Cases'!I262="In Progress - Installation/Upgrade","3",IF('Self-Assessment_Cases'!I262="Not Implemented - Compensating Control","5",IF('Self-Assessment_Cases'!I262="Not Implemented - Risk Negligible","5",IF('Self-Assessment_Cases'!I262="Not Implemented - Risk Accepted","1",IF('Self-Assessment_Cases'!I262="Not Implemented - Planned","1",IF('Self-Assessment_Cases'!I262="Not Implemented - Unplanned","1",".")))))))))</f>
        <v>.</v>
      </c>
      <c r="G262" s="9" t="s">
        <v>535</v>
      </c>
      <c r="H262" s="14"/>
      <c r="I262" s="92"/>
      <c r="J262" s="93"/>
      <c r="K262" s="85"/>
    </row>
    <row r="263" spans="1:11" s="83" customFormat="1" ht="28" x14ac:dyDescent="0.2">
      <c r="A263" s="72" t="s">
        <v>125</v>
      </c>
      <c r="B263" s="9"/>
      <c r="C263" s="89" t="s">
        <v>245</v>
      </c>
      <c r="D263" s="89" t="s">
        <v>1169</v>
      </c>
      <c r="E263" s="4" t="s">
        <v>124</v>
      </c>
      <c r="F263" s="8" t="str">
        <f>IF('Self-Assessment_Cases'!I263="Implemented","5",IF('Self-Assessment_Cases'!I263="In Progress - Administrative","3",IF('Self-Assessment_Cases'!I263="In Progress - Configuration","3",IF('Self-Assessment_Cases'!I263="In Progress - Installation/Upgrade","3",IF('Self-Assessment_Cases'!I263="Not Implemented - Compensating Control","5",IF('Self-Assessment_Cases'!I263="Not Implemented - Risk Negligible","5",IF('Self-Assessment_Cases'!I263="Not Implemented - Risk Accepted","1",IF('Self-Assessment_Cases'!I263="Not Implemented - Planned","1",IF('Self-Assessment_Cases'!I263="Not Implemented - Unplanned","1",".")))))))))</f>
        <v>.</v>
      </c>
      <c r="G263" s="75" t="s">
        <v>1347</v>
      </c>
      <c r="H263" s="14"/>
      <c r="I263" s="92"/>
      <c r="J263" s="11"/>
      <c r="K263" s="75"/>
    </row>
    <row r="264" spans="1:11" s="83" customFormat="1" ht="28" x14ac:dyDescent="0.2">
      <c r="A264" s="72" t="s">
        <v>125</v>
      </c>
      <c r="B264" s="9"/>
      <c r="C264" s="89" t="s">
        <v>245</v>
      </c>
      <c r="D264" s="89" t="s">
        <v>809</v>
      </c>
      <c r="E264" s="4" t="s">
        <v>124</v>
      </c>
      <c r="F264" s="8" t="str">
        <f>IF('Self-Assessment_Cases'!I264="Implemented","5",IF('Self-Assessment_Cases'!I264="In Progress - Administrative","3",IF('Self-Assessment_Cases'!I264="In Progress - Configuration","3",IF('Self-Assessment_Cases'!I264="In Progress - Installation/Upgrade","3",IF('Self-Assessment_Cases'!I264="Not Implemented - Compensating Control","5",IF('Self-Assessment_Cases'!I264="Not Implemented - Risk Negligible","5",IF('Self-Assessment_Cases'!I264="Not Implemented - Risk Accepted","1",IF('Self-Assessment_Cases'!I264="Not Implemented - Planned","1",IF('Self-Assessment_Cases'!I264="Not Implemented - Unplanned","1",".")))))))))</f>
        <v>.</v>
      </c>
      <c r="G264" s="75" t="s">
        <v>1348</v>
      </c>
      <c r="H264" s="14"/>
      <c r="I264" s="92"/>
      <c r="J264" s="11"/>
      <c r="K264" s="75"/>
    </row>
    <row r="265" spans="1:11" s="83" customFormat="1" ht="28" x14ac:dyDescent="0.2">
      <c r="A265" s="72" t="s">
        <v>125</v>
      </c>
      <c r="B265" s="9"/>
      <c r="C265" s="89" t="s">
        <v>245</v>
      </c>
      <c r="D265" s="89" t="s">
        <v>885</v>
      </c>
      <c r="E265" s="4" t="s">
        <v>124</v>
      </c>
      <c r="F265" s="8" t="str">
        <f>IF('Self-Assessment_Cases'!I265="Implemented","5",IF('Self-Assessment_Cases'!I265="In Progress - Administrative","3",IF('Self-Assessment_Cases'!I265="In Progress - Configuration","3",IF('Self-Assessment_Cases'!I265="In Progress - Installation/Upgrade","3",IF('Self-Assessment_Cases'!I265="Not Implemented - Compensating Control","5",IF('Self-Assessment_Cases'!I265="Not Implemented - Risk Negligible","5",IF('Self-Assessment_Cases'!I265="Not Implemented - Risk Accepted","1",IF('Self-Assessment_Cases'!I265="Not Implemented - Planned","1",IF('Self-Assessment_Cases'!I265="Not Implemented - Unplanned","1",".")))))))))</f>
        <v>.</v>
      </c>
      <c r="G265" s="75" t="s">
        <v>1349</v>
      </c>
      <c r="H265" s="14"/>
      <c r="I265" s="92"/>
      <c r="J265" s="11"/>
      <c r="K265" s="75"/>
    </row>
    <row r="266" spans="1:11" s="83" customFormat="1" ht="28" x14ac:dyDescent="0.2">
      <c r="A266" s="72" t="s">
        <v>125</v>
      </c>
      <c r="B266" s="9"/>
      <c r="C266" s="89" t="s">
        <v>245</v>
      </c>
      <c r="D266" s="89" t="s">
        <v>949</v>
      </c>
      <c r="E266" s="4" t="s">
        <v>124</v>
      </c>
      <c r="F266" s="8" t="str">
        <f>IF('Self-Assessment_Cases'!I266="Implemented","5",IF('Self-Assessment_Cases'!I266="In Progress - Administrative","3",IF('Self-Assessment_Cases'!I266="In Progress - Configuration","3",IF('Self-Assessment_Cases'!I266="In Progress - Installation/Upgrade","3",IF('Self-Assessment_Cases'!I266="Not Implemented - Compensating Control","5",IF('Self-Assessment_Cases'!I266="Not Implemented - Risk Negligible","5",IF('Self-Assessment_Cases'!I266="Not Implemented - Risk Accepted","1",IF('Self-Assessment_Cases'!I266="Not Implemented - Planned","1",IF('Self-Assessment_Cases'!I266="Not Implemented - Unplanned","1",".")))))))))</f>
        <v>.</v>
      </c>
      <c r="G266" s="75" t="s">
        <v>1350</v>
      </c>
      <c r="H266" s="14"/>
      <c r="I266" s="92"/>
      <c r="J266" s="11"/>
      <c r="K266" s="75"/>
    </row>
    <row r="267" spans="1:11" s="83" customFormat="1" ht="28" x14ac:dyDescent="0.2">
      <c r="A267" s="72" t="s">
        <v>125</v>
      </c>
      <c r="B267" s="9"/>
      <c r="C267" s="89" t="s">
        <v>245</v>
      </c>
      <c r="D267" s="89" t="s">
        <v>994</v>
      </c>
      <c r="E267" s="4" t="s">
        <v>124</v>
      </c>
      <c r="F267" s="8" t="str">
        <f>IF('Self-Assessment_Cases'!I267="Implemented","5",IF('Self-Assessment_Cases'!I267="In Progress - Administrative","3",IF('Self-Assessment_Cases'!I267="In Progress - Configuration","3",IF('Self-Assessment_Cases'!I267="In Progress - Installation/Upgrade","3",IF('Self-Assessment_Cases'!I267="Not Implemented - Compensating Control","5",IF('Self-Assessment_Cases'!I267="Not Implemented - Risk Negligible","5",IF('Self-Assessment_Cases'!I267="Not Implemented - Risk Accepted","1",IF('Self-Assessment_Cases'!I267="Not Implemented - Planned","1",IF('Self-Assessment_Cases'!I267="Not Implemented - Unplanned","1",".")))))))))</f>
        <v>.</v>
      </c>
      <c r="G267" s="75" t="s">
        <v>1351</v>
      </c>
      <c r="H267" s="14"/>
      <c r="I267" s="92"/>
      <c r="J267" s="11"/>
      <c r="K267" s="75"/>
    </row>
    <row r="268" spans="1:11" s="83" customFormat="1" ht="28" x14ac:dyDescent="0.2">
      <c r="A268" s="72" t="s">
        <v>125</v>
      </c>
      <c r="B268" s="9"/>
      <c r="C268" s="89" t="s">
        <v>245</v>
      </c>
      <c r="D268" s="89" t="s">
        <v>1025</v>
      </c>
      <c r="E268" s="4" t="s">
        <v>124</v>
      </c>
      <c r="F268" s="8" t="str">
        <f>IF('Self-Assessment_Cases'!I268="Implemented","5",IF('Self-Assessment_Cases'!I268="In Progress - Administrative","3",IF('Self-Assessment_Cases'!I268="In Progress - Configuration","3",IF('Self-Assessment_Cases'!I268="In Progress - Installation/Upgrade","3",IF('Self-Assessment_Cases'!I268="Not Implemented - Compensating Control","5",IF('Self-Assessment_Cases'!I268="Not Implemented - Risk Negligible","5",IF('Self-Assessment_Cases'!I268="Not Implemented - Risk Accepted","1",IF('Self-Assessment_Cases'!I268="Not Implemented - Planned","1",IF('Self-Assessment_Cases'!I268="Not Implemented - Unplanned","1",".")))))))))</f>
        <v>.</v>
      </c>
      <c r="G268" s="75" t="s">
        <v>1352</v>
      </c>
      <c r="H268" s="14"/>
      <c r="I268" s="92"/>
      <c r="J268" s="11"/>
      <c r="K268" s="75"/>
    </row>
    <row r="269" spans="1:11" s="83" customFormat="1" ht="42" x14ac:dyDescent="0.2">
      <c r="A269" s="72" t="s">
        <v>125</v>
      </c>
      <c r="B269" s="9"/>
      <c r="C269" s="89" t="s">
        <v>245</v>
      </c>
      <c r="D269" s="89" t="s">
        <v>1050</v>
      </c>
      <c r="E269" s="4" t="s">
        <v>124</v>
      </c>
      <c r="F269" s="8" t="str">
        <f>IF('Self-Assessment_Cases'!I269="Implemented","5",IF('Self-Assessment_Cases'!I269="In Progress - Administrative","3",IF('Self-Assessment_Cases'!I269="In Progress - Configuration","3",IF('Self-Assessment_Cases'!I269="In Progress - Installation/Upgrade","3",IF('Self-Assessment_Cases'!I269="Not Implemented - Compensating Control","5",IF('Self-Assessment_Cases'!I269="Not Implemented - Risk Negligible","5",IF('Self-Assessment_Cases'!I269="Not Implemented - Risk Accepted","1",IF('Self-Assessment_Cases'!I269="Not Implemented - Planned","1",IF('Self-Assessment_Cases'!I269="Not Implemented - Unplanned","1",".")))))))))</f>
        <v>.</v>
      </c>
      <c r="G269" s="75" t="s">
        <v>1353</v>
      </c>
      <c r="H269" s="14"/>
      <c r="I269" s="92"/>
      <c r="J269" s="11"/>
      <c r="K269" s="75"/>
    </row>
    <row r="270" spans="1:11" s="83" customFormat="1" ht="42" x14ac:dyDescent="0.2">
      <c r="A270" s="72" t="s">
        <v>125</v>
      </c>
      <c r="B270" s="9"/>
      <c r="C270" s="89" t="s">
        <v>245</v>
      </c>
      <c r="D270" s="89" t="s">
        <v>1072</v>
      </c>
      <c r="E270" s="4" t="s">
        <v>124</v>
      </c>
      <c r="F270" s="8" t="str">
        <f>IF('Self-Assessment_Cases'!I270="Implemented","5",IF('Self-Assessment_Cases'!I270="In Progress - Administrative","3",IF('Self-Assessment_Cases'!I270="In Progress - Configuration","3",IF('Self-Assessment_Cases'!I270="In Progress - Installation/Upgrade","3",IF('Self-Assessment_Cases'!I270="Not Implemented - Compensating Control","5",IF('Self-Assessment_Cases'!I270="Not Implemented - Risk Negligible","5",IF('Self-Assessment_Cases'!I270="Not Implemented - Risk Accepted","1",IF('Self-Assessment_Cases'!I270="Not Implemented - Planned","1",IF('Self-Assessment_Cases'!I270="Not Implemented - Unplanned","1",".")))))))))</f>
        <v>.</v>
      </c>
      <c r="G270" s="75" t="s">
        <v>1354</v>
      </c>
      <c r="H270" s="14"/>
      <c r="I270" s="92"/>
      <c r="J270" s="11"/>
      <c r="K270" s="75"/>
    </row>
    <row r="271" spans="1:11" s="83" customFormat="1" ht="42" x14ac:dyDescent="0.2">
      <c r="A271" s="72" t="s">
        <v>125</v>
      </c>
      <c r="B271" s="9"/>
      <c r="C271" s="89" t="s">
        <v>245</v>
      </c>
      <c r="D271" s="89" t="s">
        <v>1092</v>
      </c>
      <c r="E271" s="4" t="s">
        <v>124</v>
      </c>
      <c r="F271" s="8" t="str">
        <f>IF('Self-Assessment_Cases'!I271="Implemented","5",IF('Self-Assessment_Cases'!I271="In Progress - Administrative","3",IF('Self-Assessment_Cases'!I271="In Progress - Configuration","3",IF('Self-Assessment_Cases'!I271="In Progress - Installation/Upgrade","3",IF('Self-Assessment_Cases'!I271="Not Implemented - Compensating Control","5",IF('Self-Assessment_Cases'!I271="Not Implemented - Risk Negligible","5",IF('Self-Assessment_Cases'!I271="Not Implemented - Risk Accepted","1",IF('Self-Assessment_Cases'!I271="Not Implemented - Planned","1",IF('Self-Assessment_Cases'!I271="Not Implemented - Unplanned","1",".")))))))))</f>
        <v>.</v>
      </c>
      <c r="G271" s="75" t="s">
        <v>389</v>
      </c>
      <c r="H271" s="14"/>
      <c r="I271" s="92"/>
      <c r="J271" s="11"/>
      <c r="K271" s="75"/>
    </row>
    <row r="272" spans="1:11" s="83" customFormat="1" ht="42" x14ac:dyDescent="0.2">
      <c r="A272" s="72" t="s">
        <v>125</v>
      </c>
      <c r="B272" s="9"/>
      <c r="C272" s="89" t="s">
        <v>245</v>
      </c>
      <c r="D272" s="89" t="s">
        <v>653</v>
      </c>
      <c r="E272" s="4" t="s">
        <v>124</v>
      </c>
      <c r="F272" s="8" t="str">
        <f>IF('Self-Assessment_Cases'!I272="Implemented","5",IF('Self-Assessment_Cases'!I272="In Progress - Administrative","3",IF('Self-Assessment_Cases'!I272="In Progress - Configuration","3",IF('Self-Assessment_Cases'!I272="In Progress - Installation/Upgrade","3",IF('Self-Assessment_Cases'!I272="Not Implemented - Compensating Control","5",IF('Self-Assessment_Cases'!I272="Not Implemented - Risk Negligible","5",IF('Self-Assessment_Cases'!I272="Not Implemented - Risk Accepted","1",IF('Self-Assessment_Cases'!I272="Not Implemented - Planned","1",IF('Self-Assessment_Cases'!I272="Not Implemented - Unplanned","1",".")))))))))</f>
        <v>.</v>
      </c>
      <c r="G272" s="75" t="s">
        <v>390</v>
      </c>
      <c r="H272" s="14"/>
      <c r="I272" s="92"/>
      <c r="J272" s="11"/>
      <c r="K272" s="75"/>
    </row>
    <row r="273" spans="1:11" s="83" customFormat="1" ht="42" x14ac:dyDescent="0.2">
      <c r="A273" s="72" t="s">
        <v>127</v>
      </c>
      <c r="B273" s="9"/>
      <c r="C273" s="89" t="s">
        <v>245</v>
      </c>
      <c r="D273" s="89" t="s">
        <v>1170</v>
      </c>
      <c r="E273" s="4" t="s">
        <v>126</v>
      </c>
      <c r="F273" s="8" t="str">
        <f>IF('Self-Assessment_Cases'!I273="Implemented","5",IF('Self-Assessment_Cases'!I273="In Progress - Administrative","3",IF('Self-Assessment_Cases'!I273="In Progress - Configuration","3",IF('Self-Assessment_Cases'!I273="In Progress - Installation/Upgrade","3",IF('Self-Assessment_Cases'!I273="Not Implemented - Compensating Control","5",IF('Self-Assessment_Cases'!I273="Not Implemented - Risk Negligible","5",IF('Self-Assessment_Cases'!I273="Not Implemented - Risk Accepted","1",IF('Self-Assessment_Cases'!I273="Not Implemented - Planned","1",IF('Self-Assessment_Cases'!I273="Not Implemented - Unplanned","1",".")))))))))</f>
        <v>.</v>
      </c>
      <c r="G273" s="75" t="s">
        <v>351</v>
      </c>
      <c r="H273" s="14"/>
      <c r="I273" s="92"/>
      <c r="J273" s="11"/>
      <c r="K273" s="75"/>
    </row>
    <row r="274" spans="1:11" s="6" customFormat="1" ht="56" x14ac:dyDescent="0.2">
      <c r="A274" s="4" t="s">
        <v>129</v>
      </c>
      <c r="B274" s="9"/>
      <c r="C274" s="89" t="s">
        <v>246</v>
      </c>
      <c r="D274" s="89" t="s">
        <v>1171</v>
      </c>
      <c r="E274" s="4" t="s">
        <v>128</v>
      </c>
      <c r="F274" s="8" t="str">
        <f>IF('Self-Assessment_Cases'!I274="Implemented","5",IF('Self-Assessment_Cases'!I274="In Progress - Administrative","3",IF('Self-Assessment_Cases'!I274="In Progress - Configuration","3",IF('Self-Assessment_Cases'!I274="In Progress - Installation/Upgrade","3",IF('Self-Assessment_Cases'!I274="Not Implemented - Compensating Control","5",IF('Self-Assessment_Cases'!I274="Not Implemented - Risk Negligible","5",IF('Self-Assessment_Cases'!I274="Not Implemented - Risk Accepted","1",IF('Self-Assessment_Cases'!I274="Not Implemented - Planned","1",IF('Self-Assessment_Cases'!I274="Not Implemented - Unplanned","1",".")))))))))</f>
        <v>.</v>
      </c>
      <c r="G274" s="9" t="s">
        <v>479</v>
      </c>
      <c r="H274" s="14"/>
      <c r="I274" s="92"/>
      <c r="J274" s="93"/>
      <c r="K274" s="85"/>
    </row>
    <row r="275" spans="1:11" s="6" customFormat="1" ht="42" x14ac:dyDescent="0.2">
      <c r="A275" s="4" t="s">
        <v>129</v>
      </c>
      <c r="B275" s="9"/>
      <c r="C275" s="89" t="s">
        <v>246</v>
      </c>
      <c r="D275" s="89" t="s">
        <v>810</v>
      </c>
      <c r="E275" s="4" t="s">
        <v>128</v>
      </c>
      <c r="F275" s="8" t="str">
        <f>IF('Self-Assessment_Cases'!I275="Implemented","5",IF('Self-Assessment_Cases'!I275="In Progress - Administrative","3",IF('Self-Assessment_Cases'!I275="In Progress - Configuration","3",IF('Self-Assessment_Cases'!I275="In Progress - Installation/Upgrade","3",IF('Self-Assessment_Cases'!I275="Not Implemented - Compensating Control","5",IF('Self-Assessment_Cases'!I275="Not Implemented - Risk Negligible","5",IF('Self-Assessment_Cases'!I275="Not Implemented - Risk Accepted","1",IF('Self-Assessment_Cases'!I275="Not Implemented - Planned","1",IF('Self-Assessment_Cases'!I275="Not Implemented - Unplanned","1",".")))))))))</f>
        <v>.</v>
      </c>
      <c r="G275" s="9" t="s">
        <v>478</v>
      </c>
      <c r="H275" s="14"/>
      <c r="I275" s="92"/>
      <c r="J275" s="93"/>
      <c r="K275" s="85"/>
    </row>
    <row r="276" spans="1:11" s="6" customFormat="1" ht="84" x14ac:dyDescent="0.2">
      <c r="A276" s="4" t="s">
        <v>131</v>
      </c>
      <c r="B276" s="9" t="s">
        <v>340</v>
      </c>
      <c r="C276" s="89" t="s">
        <v>246</v>
      </c>
      <c r="D276" s="89" t="s">
        <v>1172</v>
      </c>
      <c r="E276" s="4" t="s">
        <v>130</v>
      </c>
      <c r="F276" s="8" t="str">
        <f>IF('Self-Assessment_Cases'!I276="Implemented","5",IF('Self-Assessment_Cases'!I276="In Progress - Administrative","3",IF('Self-Assessment_Cases'!I276="In Progress - Configuration","3",IF('Self-Assessment_Cases'!I276="In Progress - Installation/Upgrade","3",IF('Self-Assessment_Cases'!I276="Not Implemented - Compensating Control","5",IF('Self-Assessment_Cases'!I276="Not Implemented - Risk Negligible","5",IF('Self-Assessment_Cases'!I276="Not Implemented - Risk Accepted","1",IF('Self-Assessment_Cases'!I276="Not Implemented - Planned","1",IF('Self-Assessment_Cases'!I276="Not Implemented - Unplanned","1",".")))))))))</f>
        <v>.</v>
      </c>
      <c r="G276" s="9" t="s">
        <v>491</v>
      </c>
      <c r="H276" s="14" t="s">
        <v>492</v>
      </c>
      <c r="I276" s="92"/>
      <c r="J276" s="93"/>
      <c r="K276" s="85"/>
    </row>
    <row r="277" spans="1:11" s="83" customFormat="1" ht="16" x14ac:dyDescent="0.2">
      <c r="A277" s="72" t="s">
        <v>133</v>
      </c>
      <c r="B277" s="9" t="s">
        <v>353</v>
      </c>
      <c r="C277" s="89" t="s">
        <v>245</v>
      </c>
      <c r="D277" s="89" t="s">
        <v>1173</v>
      </c>
      <c r="E277" s="4" t="s">
        <v>132</v>
      </c>
      <c r="F277" s="8" t="str">
        <f>IF('Self-Assessment_Cases'!I277="Implemented","5",IF('Self-Assessment_Cases'!I277="In Progress - Administrative","3",IF('Self-Assessment_Cases'!I277="In Progress - Configuration","3",IF('Self-Assessment_Cases'!I277="In Progress - Installation/Upgrade","3",IF('Self-Assessment_Cases'!I277="Not Implemented - Compensating Control","5",IF('Self-Assessment_Cases'!I277="Not Implemented - Risk Negligible","5",IF('Self-Assessment_Cases'!I277="Not Implemented - Risk Accepted","1",IF('Self-Assessment_Cases'!I277="Not Implemented - Planned","1",IF('Self-Assessment_Cases'!I277="Not Implemented - Unplanned","1",".")))))))))</f>
        <v>.</v>
      </c>
      <c r="G277" s="11" t="s">
        <v>346</v>
      </c>
      <c r="H277" s="14"/>
      <c r="I277" s="92"/>
      <c r="J277" s="11"/>
      <c r="K277" s="11"/>
    </row>
    <row r="278" spans="1:11" s="6" customFormat="1" ht="98" x14ac:dyDescent="0.2">
      <c r="A278" s="4" t="s">
        <v>135</v>
      </c>
      <c r="B278" s="9" t="s">
        <v>339</v>
      </c>
      <c r="C278" s="89" t="s">
        <v>246</v>
      </c>
      <c r="D278" s="89" t="s">
        <v>1174</v>
      </c>
      <c r="E278" s="4" t="s">
        <v>134</v>
      </c>
      <c r="F278" s="8" t="str">
        <f>IF('Self-Assessment_Cases'!I278="Implemented","5",IF('Self-Assessment_Cases'!I278="In Progress - Administrative","3",IF('Self-Assessment_Cases'!I278="In Progress - Configuration","3",IF('Self-Assessment_Cases'!I278="In Progress - Installation/Upgrade","3",IF('Self-Assessment_Cases'!I278="Not Implemented - Compensating Control","5",IF('Self-Assessment_Cases'!I278="Not Implemented - Risk Negligible","5",IF('Self-Assessment_Cases'!I278="Not Implemented - Risk Accepted","1",IF('Self-Assessment_Cases'!I278="Not Implemented - Planned","1",IF('Self-Assessment_Cases'!I278="Not Implemented - Unplanned","1",".")))))))))</f>
        <v>.</v>
      </c>
      <c r="G278" s="9" t="s">
        <v>493</v>
      </c>
      <c r="H278" s="14" t="s">
        <v>494</v>
      </c>
      <c r="I278" s="92"/>
      <c r="J278" s="93"/>
      <c r="K278" s="85"/>
    </row>
    <row r="279" spans="1:11" s="83" customFormat="1" ht="42" x14ac:dyDescent="0.2">
      <c r="A279" s="72" t="s">
        <v>137</v>
      </c>
      <c r="B279" s="9"/>
      <c r="C279" s="89" t="s">
        <v>245</v>
      </c>
      <c r="D279" s="89" t="s">
        <v>1175</v>
      </c>
      <c r="E279" s="4" t="s">
        <v>136</v>
      </c>
      <c r="F279" s="8" t="str">
        <f>IF('Self-Assessment_Cases'!I279="Implemented","5",IF('Self-Assessment_Cases'!I279="In Progress - Administrative","3",IF('Self-Assessment_Cases'!I279="In Progress - Configuration","3",IF('Self-Assessment_Cases'!I279="In Progress - Installation/Upgrade","3",IF('Self-Assessment_Cases'!I279="Not Implemented - Compensating Control","5",IF('Self-Assessment_Cases'!I279="Not Implemented - Risk Negligible","5",IF('Self-Assessment_Cases'!I279="Not Implemented - Risk Accepted","1",IF('Self-Assessment_Cases'!I279="Not Implemented - Planned","1",IF('Self-Assessment_Cases'!I279="Not Implemented - Unplanned","1",".")))))))))</f>
        <v>.</v>
      </c>
      <c r="G279" s="75" t="s">
        <v>1358</v>
      </c>
      <c r="H279" s="14"/>
      <c r="I279" s="92"/>
      <c r="J279" s="11"/>
      <c r="K279" s="75"/>
    </row>
    <row r="280" spans="1:11" s="83" customFormat="1" ht="42" x14ac:dyDescent="0.2">
      <c r="A280" s="72" t="s">
        <v>137</v>
      </c>
      <c r="B280" s="9"/>
      <c r="C280" s="89" t="s">
        <v>245</v>
      </c>
      <c r="D280" s="89" t="s">
        <v>811</v>
      </c>
      <c r="E280" s="4" t="s">
        <v>136</v>
      </c>
      <c r="F280" s="8" t="str">
        <f>IF('Self-Assessment_Cases'!I280="Implemented","5",IF('Self-Assessment_Cases'!I280="In Progress - Administrative","3",IF('Self-Assessment_Cases'!I280="In Progress - Configuration","3",IF('Self-Assessment_Cases'!I280="In Progress - Installation/Upgrade","3",IF('Self-Assessment_Cases'!I280="Not Implemented - Compensating Control","5",IF('Self-Assessment_Cases'!I280="Not Implemented - Risk Negligible","5",IF('Self-Assessment_Cases'!I280="Not Implemented - Risk Accepted","1",IF('Self-Assessment_Cases'!I280="Not Implemented - Planned","1",IF('Self-Assessment_Cases'!I280="Not Implemented - Unplanned","1",".")))))))))</f>
        <v>.</v>
      </c>
      <c r="G280" s="75" t="s">
        <v>1359</v>
      </c>
      <c r="H280" s="14"/>
      <c r="I280" s="92"/>
      <c r="J280" s="11"/>
      <c r="K280" s="75"/>
    </row>
    <row r="281" spans="1:11" s="83" customFormat="1" ht="42" x14ac:dyDescent="0.2">
      <c r="A281" s="72" t="s">
        <v>137</v>
      </c>
      <c r="B281" s="9"/>
      <c r="C281" s="89" t="s">
        <v>245</v>
      </c>
      <c r="D281" s="89" t="s">
        <v>886</v>
      </c>
      <c r="E281" s="4" t="s">
        <v>136</v>
      </c>
      <c r="F281" s="8" t="str">
        <f>IF('Self-Assessment_Cases'!I281="Implemented","5",IF('Self-Assessment_Cases'!I281="In Progress - Administrative","3",IF('Self-Assessment_Cases'!I281="In Progress - Configuration","3",IF('Self-Assessment_Cases'!I281="In Progress - Installation/Upgrade","3",IF('Self-Assessment_Cases'!I281="Not Implemented - Compensating Control","5",IF('Self-Assessment_Cases'!I281="Not Implemented - Risk Negligible","5",IF('Self-Assessment_Cases'!I281="Not Implemented - Risk Accepted","1",IF('Self-Assessment_Cases'!I281="Not Implemented - Planned","1",IF('Self-Assessment_Cases'!I281="Not Implemented - Unplanned","1",".")))))))))</f>
        <v>.</v>
      </c>
      <c r="G281" s="75" t="s">
        <v>1360</v>
      </c>
      <c r="H281" s="14"/>
      <c r="I281" s="92"/>
      <c r="J281" s="11"/>
      <c r="K281" s="75"/>
    </row>
    <row r="282" spans="1:11" s="83" customFormat="1" ht="42" x14ac:dyDescent="0.2">
      <c r="A282" s="72" t="s">
        <v>137</v>
      </c>
      <c r="B282" s="9"/>
      <c r="C282" s="89" t="s">
        <v>245</v>
      </c>
      <c r="D282" s="89" t="s">
        <v>950</v>
      </c>
      <c r="E282" s="4" t="s">
        <v>136</v>
      </c>
      <c r="F282" s="8" t="str">
        <f>IF('Self-Assessment_Cases'!I282="Implemented","5",IF('Self-Assessment_Cases'!I282="In Progress - Administrative","3",IF('Self-Assessment_Cases'!I282="In Progress - Configuration","3",IF('Self-Assessment_Cases'!I282="In Progress - Installation/Upgrade","3",IF('Self-Assessment_Cases'!I282="Not Implemented - Compensating Control","5",IF('Self-Assessment_Cases'!I282="Not Implemented - Risk Negligible","5",IF('Self-Assessment_Cases'!I282="Not Implemented - Risk Accepted","1",IF('Self-Assessment_Cases'!I282="Not Implemented - Planned","1",IF('Self-Assessment_Cases'!I282="Not Implemented - Unplanned","1",".")))))))))</f>
        <v>.</v>
      </c>
      <c r="G282" s="75" t="s">
        <v>1361</v>
      </c>
      <c r="H282" s="14"/>
      <c r="I282" s="92"/>
      <c r="J282" s="11"/>
      <c r="K282" s="75"/>
    </row>
    <row r="283" spans="1:11" s="83" customFormat="1" ht="42" x14ac:dyDescent="0.2">
      <c r="A283" s="72" t="s">
        <v>137</v>
      </c>
      <c r="B283" s="9"/>
      <c r="C283" s="89" t="s">
        <v>245</v>
      </c>
      <c r="D283" s="89" t="s">
        <v>995</v>
      </c>
      <c r="E283" s="4" t="s">
        <v>136</v>
      </c>
      <c r="F283" s="8" t="str">
        <f>IF('Self-Assessment_Cases'!I283="Implemented","5",IF('Self-Assessment_Cases'!I283="In Progress - Administrative","3",IF('Self-Assessment_Cases'!I283="In Progress - Configuration","3",IF('Self-Assessment_Cases'!I283="In Progress - Installation/Upgrade","3",IF('Self-Assessment_Cases'!I283="Not Implemented - Compensating Control","5",IF('Self-Assessment_Cases'!I283="Not Implemented - Risk Negligible","5",IF('Self-Assessment_Cases'!I283="Not Implemented - Risk Accepted","1",IF('Self-Assessment_Cases'!I283="Not Implemented - Planned","1",IF('Self-Assessment_Cases'!I283="Not Implemented - Unplanned","1",".")))))))))</f>
        <v>.</v>
      </c>
      <c r="G283" s="75" t="s">
        <v>1362</v>
      </c>
      <c r="H283" s="14"/>
      <c r="I283" s="92"/>
      <c r="J283" s="11"/>
      <c r="K283" s="75"/>
    </row>
    <row r="284" spans="1:11" s="83" customFormat="1" ht="42" x14ac:dyDescent="0.2">
      <c r="A284" s="72" t="s">
        <v>137</v>
      </c>
      <c r="B284" s="9"/>
      <c r="C284" s="89" t="s">
        <v>245</v>
      </c>
      <c r="D284" s="89" t="s">
        <v>1026</v>
      </c>
      <c r="E284" s="4" t="s">
        <v>136</v>
      </c>
      <c r="F284" s="8" t="str">
        <f>IF('Self-Assessment_Cases'!I284="Implemented","5",IF('Self-Assessment_Cases'!I284="In Progress - Administrative","3",IF('Self-Assessment_Cases'!I284="In Progress - Configuration","3",IF('Self-Assessment_Cases'!I284="In Progress - Installation/Upgrade","3",IF('Self-Assessment_Cases'!I284="Not Implemented - Compensating Control","5",IF('Self-Assessment_Cases'!I284="Not Implemented - Risk Negligible","5",IF('Self-Assessment_Cases'!I284="Not Implemented - Risk Accepted","1",IF('Self-Assessment_Cases'!I284="Not Implemented - Planned","1",IF('Self-Assessment_Cases'!I284="Not Implemented - Unplanned","1",".")))))))))</f>
        <v>.</v>
      </c>
      <c r="G284" s="75" t="s">
        <v>1363</v>
      </c>
      <c r="H284" s="14"/>
      <c r="I284" s="92"/>
      <c r="J284" s="11"/>
      <c r="K284" s="75"/>
    </row>
    <row r="285" spans="1:11" s="83" customFormat="1" ht="42" x14ac:dyDescent="0.2">
      <c r="A285" s="72" t="s">
        <v>137</v>
      </c>
      <c r="B285" s="9"/>
      <c r="C285" s="89" t="s">
        <v>245</v>
      </c>
      <c r="D285" s="89" t="s">
        <v>1051</v>
      </c>
      <c r="E285" s="4" t="s">
        <v>136</v>
      </c>
      <c r="F285" s="8" t="str">
        <f>IF('Self-Assessment_Cases'!I285="Implemented","5",IF('Self-Assessment_Cases'!I285="In Progress - Administrative","3",IF('Self-Assessment_Cases'!I285="In Progress - Configuration","3",IF('Self-Assessment_Cases'!I285="In Progress - Installation/Upgrade","3",IF('Self-Assessment_Cases'!I285="Not Implemented - Compensating Control","5",IF('Self-Assessment_Cases'!I285="Not Implemented - Risk Negligible","5",IF('Self-Assessment_Cases'!I285="Not Implemented - Risk Accepted","1",IF('Self-Assessment_Cases'!I285="Not Implemented - Planned","1",IF('Self-Assessment_Cases'!I285="Not Implemented - Unplanned","1",".")))))))))</f>
        <v>.</v>
      </c>
      <c r="G285" s="75" t="s">
        <v>1364</v>
      </c>
      <c r="H285" s="14"/>
      <c r="I285" s="92"/>
      <c r="J285" s="11"/>
      <c r="K285" s="75"/>
    </row>
    <row r="286" spans="1:11" s="83" customFormat="1" ht="56" x14ac:dyDescent="0.2">
      <c r="A286" s="72" t="s">
        <v>137</v>
      </c>
      <c r="B286" s="9"/>
      <c r="C286" s="89" t="s">
        <v>245</v>
      </c>
      <c r="D286" s="89" t="s">
        <v>1355</v>
      </c>
      <c r="E286" s="4" t="s">
        <v>136</v>
      </c>
      <c r="F286" s="8" t="str">
        <f>IF('Self-Assessment_Cases'!I286="Implemented","5",IF('Self-Assessment_Cases'!I286="In Progress - Administrative","3",IF('Self-Assessment_Cases'!I286="In Progress - Configuration","3",IF('Self-Assessment_Cases'!I286="In Progress - Installation/Upgrade","3",IF('Self-Assessment_Cases'!I286="Not Implemented - Compensating Control","5",IF('Self-Assessment_Cases'!I286="Not Implemented - Risk Negligible","5",IF('Self-Assessment_Cases'!I286="Not Implemented - Risk Accepted","1",IF('Self-Assessment_Cases'!I286="Not Implemented - Planned","1",IF('Self-Assessment_Cases'!I286="Not Implemented - Unplanned","1",".")))))))))</f>
        <v>.</v>
      </c>
      <c r="G286" s="75" t="s">
        <v>1365</v>
      </c>
      <c r="H286" s="14"/>
      <c r="I286" s="92"/>
      <c r="J286" s="11"/>
      <c r="K286" s="75"/>
    </row>
    <row r="287" spans="1:11" s="83" customFormat="1" ht="42" x14ac:dyDescent="0.2">
      <c r="A287" s="72" t="s">
        <v>137</v>
      </c>
      <c r="B287" s="9"/>
      <c r="C287" s="89" t="s">
        <v>245</v>
      </c>
      <c r="D287" s="89" t="s">
        <v>1356</v>
      </c>
      <c r="E287" s="4" t="s">
        <v>136</v>
      </c>
      <c r="F287" s="8" t="str">
        <f>IF('Self-Assessment_Cases'!I287="Implemented","5",IF('Self-Assessment_Cases'!I287="In Progress - Administrative","3",IF('Self-Assessment_Cases'!I287="In Progress - Configuration","3",IF('Self-Assessment_Cases'!I287="In Progress - Installation/Upgrade","3",IF('Self-Assessment_Cases'!I287="Not Implemented - Compensating Control","5",IF('Self-Assessment_Cases'!I287="Not Implemented - Risk Negligible","5",IF('Self-Assessment_Cases'!I287="Not Implemented - Risk Accepted","1",IF('Self-Assessment_Cases'!I287="Not Implemented - Planned","1",IF('Self-Assessment_Cases'!I287="Not Implemented - Unplanned","1",".")))))))))</f>
        <v>.</v>
      </c>
      <c r="G287" s="75" t="s">
        <v>389</v>
      </c>
      <c r="H287" s="14"/>
      <c r="I287" s="92"/>
      <c r="J287" s="11"/>
      <c r="K287" s="75"/>
    </row>
    <row r="288" spans="1:11" s="83" customFormat="1" ht="42" x14ac:dyDescent="0.2">
      <c r="A288" s="72" t="s">
        <v>137</v>
      </c>
      <c r="B288" s="9"/>
      <c r="C288" s="89" t="s">
        <v>245</v>
      </c>
      <c r="D288" s="89" t="s">
        <v>1357</v>
      </c>
      <c r="E288" s="4" t="s">
        <v>136</v>
      </c>
      <c r="F288" s="8" t="str">
        <f>IF('Self-Assessment_Cases'!I288="Implemented","5",IF('Self-Assessment_Cases'!I288="In Progress - Administrative","3",IF('Self-Assessment_Cases'!I288="In Progress - Configuration","3",IF('Self-Assessment_Cases'!I288="In Progress - Installation/Upgrade","3",IF('Self-Assessment_Cases'!I288="Not Implemented - Compensating Control","5",IF('Self-Assessment_Cases'!I288="Not Implemented - Risk Negligible","5",IF('Self-Assessment_Cases'!I288="Not Implemented - Risk Accepted","1",IF('Self-Assessment_Cases'!I288="Not Implemented - Planned","1",IF('Self-Assessment_Cases'!I288="Not Implemented - Unplanned","1",".")))))))))</f>
        <v>.</v>
      </c>
      <c r="G288" s="75" t="s">
        <v>390</v>
      </c>
      <c r="H288" s="14"/>
      <c r="I288" s="92"/>
      <c r="J288" s="11"/>
      <c r="K288" s="75"/>
    </row>
    <row r="289" spans="1:11" s="3" customFormat="1" ht="42" x14ac:dyDescent="0.2">
      <c r="A289" s="4" t="s">
        <v>147</v>
      </c>
      <c r="B289" s="9"/>
      <c r="C289" s="89" t="s">
        <v>246</v>
      </c>
      <c r="D289" s="89" t="s">
        <v>1176</v>
      </c>
      <c r="E289" s="4" t="s">
        <v>146</v>
      </c>
      <c r="F289" s="8" t="str">
        <f>IF('Self-Assessment_Cases'!I289="Implemented","5",IF('Self-Assessment_Cases'!I289="In Progress - Administrative","3",IF('Self-Assessment_Cases'!I289="In Progress - Configuration","3",IF('Self-Assessment_Cases'!I289="In Progress - Installation/Upgrade","3",IF('Self-Assessment_Cases'!I289="Not Implemented - Compensating Control","5",IF('Self-Assessment_Cases'!I289="Not Implemented - Risk Negligible","5",IF('Self-Assessment_Cases'!I289="Not Implemented - Risk Accepted","1",IF('Self-Assessment_Cases'!I289="Not Implemented - Planned","1",IF('Self-Assessment_Cases'!I289="Not Implemented - Unplanned","1",".")))))))))</f>
        <v>.</v>
      </c>
      <c r="G289" s="9" t="s">
        <v>529</v>
      </c>
      <c r="H289" s="14"/>
      <c r="I289" s="92"/>
      <c r="J289" s="93"/>
      <c r="K289" s="85"/>
    </row>
    <row r="290" spans="1:11" s="3" customFormat="1" ht="42" x14ac:dyDescent="0.2">
      <c r="A290" s="4" t="s">
        <v>147</v>
      </c>
      <c r="B290" s="9"/>
      <c r="C290" s="89" t="s">
        <v>246</v>
      </c>
      <c r="D290" s="89" t="s">
        <v>812</v>
      </c>
      <c r="E290" s="4" t="s">
        <v>146</v>
      </c>
      <c r="F290" s="8" t="str">
        <f>IF('Self-Assessment_Cases'!I290="Implemented","5",IF('Self-Assessment_Cases'!I290="In Progress - Administrative","3",IF('Self-Assessment_Cases'!I290="In Progress - Configuration","3",IF('Self-Assessment_Cases'!I290="In Progress - Installation/Upgrade","3",IF('Self-Assessment_Cases'!I290="Not Implemented - Compensating Control","5",IF('Self-Assessment_Cases'!I290="Not Implemented - Risk Negligible","5",IF('Self-Assessment_Cases'!I290="Not Implemented - Risk Accepted","1",IF('Self-Assessment_Cases'!I290="Not Implemented - Planned","1",IF('Self-Assessment_Cases'!I290="Not Implemented - Unplanned","1",".")))))))))</f>
        <v>.</v>
      </c>
      <c r="G290" s="9" t="s">
        <v>528</v>
      </c>
      <c r="H290" s="14"/>
      <c r="I290" s="92"/>
      <c r="J290" s="93"/>
      <c r="K290" s="85"/>
    </row>
    <row r="291" spans="1:11" s="6" customFormat="1" ht="42" x14ac:dyDescent="0.2">
      <c r="A291" s="4" t="s">
        <v>147</v>
      </c>
      <c r="B291" s="9"/>
      <c r="C291" s="89" t="s">
        <v>246</v>
      </c>
      <c r="D291" s="89" t="s">
        <v>887</v>
      </c>
      <c r="E291" s="4" t="s">
        <v>146</v>
      </c>
      <c r="F291" s="8" t="str">
        <f>IF('Self-Assessment_Cases'!I291="Implemented","5",IF('Self-Assessment_Cases'!I291="In Progress - Administrative","3",IF('Self-Assessment_Cases'!I291="In Progress - Configuration","3",IF('Self-Assessment_Cases'!I291="In Progress - Installation/Upgrade","3",IF('Self-Assessment_Cases'!I291="Not Implemented - Compensating Control","5",IF('Self-Assessment_Cases'!I291="Not Implemented - Risk Negligible","5",IF('Self-Assessment_Cases'!I291="Not Implemented - Risk Accepted","1",IF('Self-Assessment_Cases'!I291="Not Implemented - Planned","1",IF('Self-Assessment_Cases'!I291="Not Implemented - Unplanned","1",".")))))))))</f>
        <v>.</v>
      </c>
      <c r="G291" s="13" t="s">
        <v>527</v>
      </c>
      <c r="H291" s="14"/>
      <c r="I291" s="92"/>
      <c r="J291" s="93"/>
      <c r="K291" s="85"/>
    </row>
    <row r="292" spans="1:11" s="6" customFormat="1" ht="56" x14ac:dyDescent="0.2">
      <c r="A292" s="4" t="s">
        <v>269</v>
      </c>
      <c r="B292" s="9"/>
      <c r="C292" s="89" t="s">
        <v>246</v>
      </c>
      <c r="D292" s="88" t="s">
        <v>1177</v>
      </c>
      <c r="E292" s="4" t="s">
        <v>226</v>
      </c>
      <c r="F292" s="8" t="str">
        <f>IF('Self-Assessment_Cases'!I292="Implemented","5",IF('Self-Assessment_Cases'!I292="In Progress - Administrative","3",IF('Self-Assessment_Cases'!I292="In Progress - Configuration","3",IF('Self-Assessment_Cases'!I292="In Progress - Installation/Upgrade","3",IF('Self-Assessment_Cases'!I292="Not Implemented - Compensating Control","5",IF('Self-Assessment_Cases'!I292="Not Implemented - Risk Negligible","5",IF('Self-Assessment_Cases'!I292="Not Implemented - Risk Accepted","1",IF('Self-Assessment_Cases'!I292="Not Implemented - Planned","1",IF('Self-Assessment_Cases'!I292="Not Implemented - Unplanned","1",".")))))))))</f>
        <v>.</v>
      </c>
      <c r="G292" s="13" t="s">
        <v>1419</v>
      </c>
      <c r="H292" s="14"/>
      <c r="I292" s="92"/>
      <c r="J292" s="93"/>
      <c r="K292" s="85"/>
    </row>
    <row r="293" spans="1:11" s="6" customFormat="1" ht="28" x14ac:dyDescent="0.2">
      <c r="A293" s="7" t="s">
        <v>249</v>
      </c>
      <c r="B293" s="9"/>
      <c r="C293" s="89" t="s">
        <v>247</v>
      </c>
      <c r="D293" s="88" t="s">
        <v>1178</v>
      </c>
      <c r="E293" s="4" t="s">
        <v>227</v>
      </c>
      <c r="F293" s="8" t="str">
        <f>IF('Self-Assessment_Cases'!I293="Implemented","5",IF('Self-Assessment_Cases'!I293="In Progress - Administrative","3",IF('Self-Assessment_Cases'!I293="In Progress - Configuration","3",IF('Self-Assessment_Cases'!I293="In Progress - Installation/Upgrade","3",IF('Self-Assessment_Cases'!I293="Not Implemented - Compensating Control","5",IF('Self-Assessment_Cases'!I293="Not Implemented - Risk Negligible","5",IF('Self-Assessment_Cases'!I293="Not Implemented - Risk Accepted","1",IF('Self-Assessment_Cases'!I293="Not Implemented - Planned","1",IF('Self-Assessment_Cases'!I293="Not Implemented - Unplanned","1",".")))))))))</f>
        <v>.</v>
      </c>
      <c r="G293" s="13" t="s">
        <v>375</v>
      </c>
      <c r="H293" s="14"/>
      <c r="I293" s="92"/>
      <c r="J293" s="14"/>
      <c r="K293" s="9"/>
    </row>
    <row r="294" spans="1:11" s="6" customFormat="1" ht="42" x14ac:dyDescent="0.2">
      <c r="A294" s="4" t="s">
        <v>139</v>
      </c>
      <c r="B294" s="9"/>
      <c r="C294" s="89" t="s">
        <v>246</v>
      </c>
      <c r="D294" s="89" t="s">
        <v>1179</v>
      </c>
      <c r="E294" s="4" t="s">
        <v>138</v>
      </c>
      <c r="F294" s="8" t="str">
        <f>IF('Self-Assessment_Cases'!I294="Implemented","5",IF('Self-Assessment_Cases'!I294="In Progress - Administrative","3",IF('Self-Assessment_Cases'!I294="In Progress - Configuration","3",IF('Self-Assessment_Cases'!I294="In Progress - Installation/Upgrade","3",IF('Self-Assessment_Cases'!I294="Not Implemented - Compensating Control","5",IF('Self-Assessment_Cases'!I294="Not Implemented - Risk Negligible","5",IF('Self-Assessment_Cases'!I294="Not Implemented - Risk Accepted","1",IF('Self-Assessment_Cases'!I294="Not Implemented - Planned","1",IF('Self-Assessment_Cases'!I294="Not Implemented - Unplanned","1",".")))))))))</f>
        <v>.</v>
      </c>
      <c r="G294" s="9" t="s">
        <v>498</v>
      </c>
      <c r="H294" s="14"/>
      <c r="I294" s="92"/>
      <c r="J294" s="93"/>
      <c r="K294" s="85"/>
    </row>
    <row r="295" spans="1:11" s="6" customFormat="1" ht="28" x14ac:dyDescent="0.2">
      <c r="A295" s="4" t="s">
        <v>139</v>
      </c>
      <c r="B295" s="9"/>
      <c r="C295" s="89" t="s">
        <v>246</v>
      </c>
      <c r="D295" s="89" t="s">
        <v>813</v>
      </c>
      <c r="E295" s="4" t="s">
        <v>138</v>
      </c>
      <c r="F295" s="8" t="str">
        <f>IF('Self-Assessment_Cases'!I295="Implemented","5",IF('Self-Assessment_Cases'!I295="In Progress - Administrative","3",IF('Self-Assessment_Cases'!I295="In Progress - Configuration","3",IF('Self-Assessment_Cases'!I295="In Progress - Installation/Upgrade","3",IF('Self-Assessment_Cases'!I295="Not Implemented - Compensating Control","5",IF('Self-Assessment_Cases'!I295="Not Implemented - Risk Negligible","5",IF('Self-Assessment_Cases'!I295="Not Implemented - Risk Accepted","1",IF('Self-Assessment_Cases'!I295="Not Implemented - Planned","1",IF('Self-Assessment_Cases'!I295="Not Implemented - Unplanned","1",".")))))))))</f>
        <v>.</v>
      </c>
      <c r="G295" s="9" t="s">
        <v>497</v>
      </c>
      <c r="H295" s="14"/>
      <c r="I295" s="92"/>
      <c r="J295" s="93"/>
      <c r="K295" s="85"/>
    </row>
    <row r="296" spans="1:11" s="6" customFormat="1" ht="42" x14ac:dyDescent="0.2">
      <c r="A296" s="4" t="s">
        <v>139</v>
      </c>
      <c r="B296" s="9"/>
      <c r="C296" s="89" t="s">
        <v>246</v>
      </c>
      <c r="D296" s="89" t="s">
        <v>888</v>
      </c>
      <c r="E296" s="4" t="s">
        <v>138</v>
      </c>
      <c r="F296" s="8" t="str">
        <f>IF('Self-Assessment_Cases'!I296="Implemented","5",IF('Self-Assessment_Cases'!I296="In Progress - Administrative","3",IF('Self-Assessment_Cases'!I296="In Progress - Configuration","3",IF('Self-Assessment_Cases'!I296="In Progress - Installation/Upgrade","3",IF('Self-Assessment_Cases'!I296="Not Implemented - Compensating Control","5",IF('Self-Assessment_Cases'!I296="Not Implemented - Risk Negligible","5",IF('Self-Assessment_Cases'!I296="Not Implemented - Risk Accepted","1",IF('Self-Assessment_Cases'!I296="Not Implemented - Planned","1",IF('Self-Assessment_Cases'!I296="Not Implemented - Unplanned","1",".")))))))))</f>
        <v>.</v>
      </c>
      <c r="G296" s="9" t="s">
        <v>496</v>
      </c>
      <c r="H296" s="14"/>
      <c r="I296" s="92"/>
      <c r="J296" s="93"/>
      <c r="K296" s="85"/>
    </row>
    <row r="297" spans="1:11" s="6" customFormat="1" ht="42" x14ac:dyDescent="0.2">
      <c r="A297" s="4" t="s">
        <v>139</v>
      </c>
      <c r="B297" s="9"/>
      <c r="C297" s="89" t="s">
        <v>246</v>
      </c>
      <c r="D297" s="89" t="s">
        <v>951</v>
      </c>
      <c r="E297" s="4" t="s">
        <v>138</v>
      </c>
      <c r="F297" s="8" t="str">
        <f>IF('Self-Assessment_Cases'!I297="Implemented","5",IF('Self-Assessment_Cases'!I297="In Progress - Administrative","3",IF('Self-Assessment_Cases'!I297="In Progress - Configuration","3",IF('Self-Assessment_Cases'!I297="In Progress - Installation/Upgrade","3",IF('Self-Assessment_Cases'!I297="Not Implemented - Compensating Control","5",IF('Self-Assessment_Cases'!I297="Not Implemented - Risk Negligible","5",IF('Self-Assessment_Cases'!I297="Not Implemented - Risk Accepted","1",IF('Self-Assessment_Cases'!I297="Not Implemented - Planned","1",IF('Self-Assessment_Cases'!I297="Not Implemented - Unplanned","1",".")))))))))</f>
        <v>.</v>
      </c>
      <c r="G297" s="9" t="s">
        <v>495</v>
      </c>
      <c r="H297" s="14"/>
      <c r="I297" s="92"/>
      <c r="J297" s="93"/>
      <c r="K297" s="85"/>
    </row>
    <row r="298" spans="1:11" s="6" customFormat="1" ht="114.75" customHeight="1" x14ac:dyDescent="0.2">
      <c r="A298" s="4" t="s">
        <v>261</v>
      </c>
      <c r="B298" s="9"/>
      <c r="C298" s="89" t="s">
        <v>247</v>
      </c>
      <c r="D298" s="88" t="s">
        <v>1180</v>
      </c>
      <c r="E298" s="4" t="s">
        <v>228</v>
      </c>
      <c r="F298" s="8" t="str">
        <f>IF('Self-Assessment_Cases'!I298="Implemented","5",IF('Self-Assessment_Cases'!I298="In Progress - Administrative","3",IF('Self-Assessment_Cases'!I298="In Progress - Configuration","3",IF('Self-Assessment_Cases'!I298="In Progress - Installation/Upgrade","3",IF('Self-Assessment_Cases'!I298="Not Implemented - Compensating Control","5",IF('Self-Assessment_Cases'!I298="Not Implemented - Risk Negligible","5",IF('Self-Assessment_Cases'!I298="Not Implemented - Risk Accepted","1",IF('Self-Assessment_Cases'!I298="Not Implemented - Planned","1",IF('Self-Assessment_Cases'!I298="Not Implemented - Unplanned","1",".")))))))))</f>
        <v>.</v>
      </c>
      <c r="G298" s="9" t="s">
        <v>628</v>
      </c>
      <c r="H298" s="14"/>
      <c r="I298" s="92"/>
      <c r="J298" s="14"/>
      <c r="K298" s="9"/>
    </row>
    <row r="299" spans="1:11" s="6" customFormat="1" ht="99.75" customHeight="1" x14ac:dyDescent="0.2">
      <c r="A299" s="4" t="s">
        <v>261</v>
      </c>
      <c r="B299" s="9"/>
      <c r="C299" s="89" t="s">
        <v>247</v>
      </c>
      <c r="D299" s="88" t="s">
        <v>814</v>
      </c>
      <c r="E299" s="4" t="s">
        <v>228</v>
      </c>
      <c r="F299" s="8" t="str">
        <f>IF('Self-Assessment_Cases'!I299="Implemented","5",IF('Self-Assessment_Cases'!I299="In Progress - Administrative","3",IF('Self-Assessment_Cases'!I299="In Progress - Configuration","3",IF('Self-Assessment_Cases'!I299="In Progress - Installation/Upgrade","3",IF('Self-Assessment_Cases'!I299="Not Implemented - Compensating Control","5",IF('Self-Assessment_Cases'!I299="Not Implemented - Risk Negligible","5",IF('Self-Assessment_Cases'!I299="Not Implemented - Risk Accepted","1",IF('Self-Assessment_Cases'!I299="Not Implemented - Planned","1",IF('Self-Assessment_Cases'!I299="Not Implemented - Unplanned","1",".")))))))))</f>
        <v>.</v>
      </c>
      <c r="G299" s="9" t="s">
        <v>627</v>
      </c>
      <c r="H299" s="14"/>
      <c r="I299" s="92"/>
      <c r="J299" s="14"/>
      <c r="K299" s="9"/>
    </row>
    <row r="300" spans="1:11" s="83" customFormat="1" ht="84" x14ac:dyDescent="0.2">
      <c r="A300" s="72" t="s">
        <v>141</v>
      </c>
      <c r="B300" s="9"/>
      <c r="C300" s="89" t="s">
        <v>245</v>
      </c>
      <c r="D300" s="89" t="s">
        <v>1181</v>
      </c>
      <c r="E300" s="4" t="s">
        <v>140</v>
      </c>
      <c r="F300" s="8" t="str">
        <f>IF('Self-Assessment_Cases'!I300="Implemented","5",IF('Self-Assessment_Cases'!I300="In Progress - Administrative","3",IF('Self-Assessment_Cases'!I300="In Progress - Configuration","3",IF('Self-Assessment_Cases'!I300="In Progress - Installation/Upgrade","3",IF('Self-Assessment_Cases'!I300="Not Implemented - Compensating Control","5",IF('Self-Assessment_Cases'!I300="Not Implemented - Risk Negligible","5",IF('Self-Assessment_Cases'!I300="Not Implemented - Risk Accepted","1",IF('Self-Assessment_Cases'!I300="Not Implemented - Planned","1",IF('Self-Assessment_Cases'!I300="Not Implemented - Unplanned","1",".")))))))))</f>
        <v>.</v>
      </c>
      <c r="G300" s="75" t="s">
        <v>447</v>
      </c>
      <c r="H300" s="14"/>
      <c r="I300" s="92"/>
      <c r="J300" s="11"/>
      <c r="K300" s="75"/>
    </row>
    <row r="301" spans="1:11" s="83" customFormat="1" ht="112" x14ac:dyDescent="0.2">
      <c r="A301" s="72" t="s">
        <v>141</v>
      </c>
      <c r="B301" s="9"/>
      <c r="C301" s="89" t="s">
        <v>245</v>
      </c>
      <c r="D301" s="89" t="s">
        <v>815</v>
      </c>
      <c r="E301" s="4" t="s">
        <v>140</v>
      </c>
      <c r="F301" s="8" t="str">
        <f>IF('Self-Assessment_Cases'!I301="Implemented","5",IF('Self-Assessment_Cases'!I301="In Progress - Administrative","3",IF('Self-Assessment_Cases'!I301="In Progress - Configuration","3",IF('Self-Assessment_Cases'!I301="In Progress - Installation/Upgrade","3",IF('Self-Assessment_Cases'!I301="Not Implemented - Compensating Control","5",IF('Self-Assessment_Cases'!I301="Not Implemented - Risk Negligible","5",IF('Self-Assessment_Cases'!I301="Not Implemented - Risk Accepted","1",IF('Self-Assessment_Cases'!I301="Not Implemented - Planned","1",IF('Self-Assessment_Cases'!I301="Not Implemented - Unplanned","1",".")))))))))</f>
        <v>.</v>
      </c>
      <c r="G301" s="75" t="s">
        <v>448</v>
      </c>
      <c r="H301" s="14"/>
      <c r="I301" s="92"/>
      <c r="J301" s="11"/>
      <c r="K301" s="75"/>
    </row>
    <row r="302" spans="1:11" s="83" customFormat="1" ht="42" x14ac:dyDescent="0.2">
      <c r="A302" s="72" t="s">
        <v>141</v>
      </c>
      <c r="B302" s="9"/>
      <c r="C302" s="89" t="s">
        <v>245</v>
      </c>
      <c r="D302" s="89" t="s">
        <v>889</v>
      </c>
      <c r="E302" s="4" t="s">
        <v>140</v>
      </c>
      <c r="F302" s="8" t="str">
        <f>IF('Self-Assessment_Cases'!I302="Implemented","5",IF('Self-Assessment_Cases'!I302="In Progress - Administrative","3",IF('Self-Assessment_Cases'!I302="In Progress - Configuration","3",IF('Self-Assessment_Cases'!I302="In Progress - Installation/Upgrade","3",IF('Self-Assessment_Cases'!I302="Not Implemented - Compensating Control","5",IF('Self-Assessment_Cases'!I302="Not Implemented - Risk Negligible","5",IF('Self-Assessment_Cases'!I302="Not Implemented - Risk Accepted","1",IF('Self-Assessment_Cases'!I302="Not Implemented - Planned","1",IF('Self-Assessment_Cases'!I302="Not Implemented - Unplanned","1",".")))))))))</f>
        <v>.</v>
      </c>
      <c r="G302" s="75" t="s">
        <v>449</v>
      </c>
      <c r="H302" s="14"/>
      <c r="I302" s="92"/>
      <c r="J302" s="11"/>
      <c r="K302" s="75"/>
    </row>
    <row r="303" spans="1:11" s="83" customFormat="1" ht="56" x14ac:dyDescent="0.2">
      <c r="A303" s="72" t="s">
        <v>141</v>
      </c>
      <c r="B303" s="9"/>
      <c r="C303" s="89" t="s">
        <v>245</v>
      </c>
      <c r="D303" s="89" t="s">
        <v>952</v>
      </c>
      <c r="E303" s="4" t="s">
        <v>140</v>
      </c>
      <c r="F303" s="8" t="str">
        <f>IF('Self-Assessment_Cases'!I303="Implemented","5",IF('Self-Assessment_Cases'!I303="In Progress - Administrative","3",IF('Self-Assessment_Cases'!I303="In Progress - Configuration","3",IF('Self-Assessment_Cases'!I303="In Progress - Installation/Upgrade","3",IF('Self-Assessment_Cases'!I303="Not Implemented - Compensating Control","5",IF('Self-Assessment_Cases'!I303="Not Implemented - Risk Negligible","5",IF('Self-Assessment_Cases'!I303="Not Implemented - Risk Accepted","1",IF('Self-Assessment_Cases'!I303="Not Implemented - Planned","1",IF('Self-Assessment_Cases'!I303="Not Implemented - Unplanned","1",".")))))))))</f>
        <v>.</v>
      </c>
      <c r="G303" s="75" t="s">
        <v>450</v>
      </c>
      <c r="H303" s="14"/>
      <c r="I303" s="92"/>
      <c r="J303" s="11"/>
      <c r="K303" s="75"/>
    </row>
    <row r="304" spans="1:11" s="83" customFormat="1" ht="56" x14ac:dyDescent="0.2">
      <c r="A304" s="72" t="s">
        <v>141</v>
      </c>
      <c r="B304" s="9"/>
      <c r="C304" s="89" t="s">
        <v>245</v>
      </c>
      <c r="D304" s="89" t="s">
        <v>996</v>
      </c>
      <c r="E304" s="4" t="s">
        <v>140</v>
      </c>
      <c r="F304" s="8" t="str">
        <f>IF('Self-Assessment_Cases'!I304="Implemented","5",IF('Self-Assessment_Cases'!I304="In Progress - Administrative","3",IF('Self-Assessment_Cases'!I304="In Progress - Configuration","3",IF('Self-Assessment_Cases'!I304="In Progress - Installation/Upgrade","3",IF('Self-Assessment_Cases'!I304="Not Implemented - Compensating Control","5",IF('Self-Assessment_Cases'!I304="Not Implemented - Risk Negligible","5",IF('Self-Assessment_Cases'!I304="Not Implemented - Risk Accepted","1",IF('Self-Assessment_Cases'!I304="Not Implemented - Planned","1",IF('Self-Assessment_Cases'!I304="Not Implemented - Unplanned","1",".")))))))))</f>
        <v>.</v>
      </c>
      <c r="G304" s="75" t="s">
        <v>451</v>
      </c>
      <c r="H304" s="14"/>
      <c r="I304" s="92"/>
      <c r="J304" s="11"/>
      <c r="K304" s="75"/>
    </row>
    <row r="305" spans="1:11" s="83" customFormat="1" ht="42" x14ac:dyDescent="0.2">
      <c r="A305" s="72" t="s">
        <v>141</v>
      </c>
      <c r="B305" s="9"/>
      <c r="C305" s="89" t="s">
        <v>245</v>
      </c>
      <c r="D305" s="89" t="s">
        <v>1027</v>
      </c>
      <c r="E305" s="4" t="s">
        <v>140</v>
      </c>
      <c r="F305" s="8" t="str">
        <f>IF('Self-Assessment_Cases'!I305="Implemented","5",IF('Self-Assessment_Cases'!I305="In Progress - Administrative","3",IF('Self-Assessment_Cases'!I305="In Progress - Configuration","3",IF('Self-Assessment_Cases'!I305="In Progress - Installation/Upgrade","3",IF('Self-Assessment_Cases'!I305="Not Implemented - Compensating Control","5",IF('Self-Assessment_Cases'!I305="Not Implemented - Risk Negligible","5",IF('Self-Assessment_Cases'!I305="Not Implemented - Risk Accepted","1",IF('Self-Assessment_Cases'!I305="Not Implemented - Planned","1",IF('Self-Assessment_Cases'!I305="Not Implemented - Unplanned","1",".")))))))))</f>
        <v>.</v>
      </c>
      <c r="G305" s="75" t="s">
        <v>452</v>
      </c>
      <c r="H305" s="14"/>
      <c r="I305" s="92"/>
      <c r="J305" s="11"/>
      <c r="K305" s="75"/>
    </row>
    <row r="306" spans="1:11" s="83" customFormat="1" ht="56" x14ac:dyDescent="0.2">
      <c r="A306" s="72" t="s">
        <v>141</v>
      </c>
      <c r="B306" s="9"/>
      <c r="C306" s="89" t="s">
        <v>245</v>
      </c>
      <c r="D306" s="89" t="s">
        <v>1052</v>
      </c>
      <c r="E306" s="4" t="s">
        <v>140</v>
      </c>
      <c r="F306" s="8" t="str">
        <f>IF('Self-Assessment_Cases'!I306="Implemented","5",IF('Self-Assessment_Cases'!I306="In Progress - Administrative","3",IF('Self-Assessment_Cases'!I306="In Progress - Configuration","3",IF('Self-Assessment_Cases'!I306="In Progress - Installation/Upgrade","3",IF('Self-Assessment_Cases'!I306="Not Implemented - Compensating Control","5",IF('Self-Assessment_Cases'!I306="Not Implemented - Risk Negligible","5",IF('Self-Assessment_Cases'!I306="Not Implemented - Risk Accepted","1",IF('Self-Assessment_Cases'!I306="Not Implemented - Planned","1",IF('Self-Assessment_Cases'!I306="Not Implemented - Unplanned","1",".")))))))))</f>
        <v>.</v>
      </c>
      <c r="G306" s="75" t="s">
        <v>453</v>
      </c>
      <c r="H306" s="14"/>
      <c r="I306" s="92"/>
      <c r="J306" s="11"/>
      <c r="K306" s="75"/>
    </row>
    <row r="307" spans="1:11" s="83" customFormat="1" ht="70" x14ac:dyDescent="0.2">
      <c r="A307" s="72" t="s">
        <v>141</v>
      </c>
      <c r="B307" s="9"/>
      <c r="C307" s="89" t="s">
        <v>245</v>
      </c>
      <c r="D307" s="89" t="s">
        <v>1073</v>
      </c>
      <c r="E307" s="4" t="s">
        <v>140</v>
      </c>
      <c r="F307" s="8" t="str">
        <f>IF('Self-Assessment_Cases'!I307="Implemented","5",IF('Self-Assessment_Cases'!I307="In Progress - Administrative","3",IF('Self-Assessment_Cases'!I307="In Progress - Configuration","3",IF('Self-Assessment_Cases'!I307="In Progress - Installation/Upgrade","3",IF('Self-Assessment_Cases'!I307="Not Implemented - Compensating Control","5",IF('Self-Assessment_Cases'!I307="Not Implemented - Risk Negligible","5",IF('Self-Assessment_Cases'!I307="Not Implemented - Risk Accepted","1",IF('Self-Assessment_Cases'!I307="Not Implemented - Planned","1",IF('Self-Assessment_Cases'!I307="Not Implemented - Unplanned","1",".")))))))))</f>
        <v>.</v>
      </c>
      <c r="G307" s="75" t="s">
        <v>454</v>
      </c>
      <c r="H307" s="14"/>
      <c r="I307" s="92"/>
      <c r="J307" s="11"/>
      <c r="K307" s="75"/>
    </row>
    <row r="308" spans="1:11" s="6" customFormat="1" ht="28" x14ac:dyDescent="0.2">
      <c r="A308" s="4" t="s">
        <v>143</v>
      </c>
      <c r="B308" s="9"/>
      <c r="C308" s="89" t="s">
        <v>246</v>
      </c>
      <c r="D308" s="89" t="s">
        <v>1182</v>
      </c>
      <c r="E308" s="4" t="s">
        <v>142</v>
      </c>
      <c r="F308" s="8" t="str">
        <f>IF('Self-Assessment_Cases'!I308="Implemented","5",IF('Self-Assessment_Cases'!I308="In Progress - Administrative","3",IF('Self-Assessment_Cases'!I308="In Progress - Configuration","3",IF('Self-Assessment_Cases'!I308="In Progress - Installation/Upgrade","3",IF('Self-Assessment_Cases'!I308="Not Implemented - Compensating Control","5",IF('Self-Assessment_Cases'!I308="Not Implemented - Risk Negligible","5",IF('Self-Assessment_Cases'!I308="Not Implemented - Risk Accepted","1",IF('Self-Assessment_Cases'!I308="Not Implemented - Planned","1",IF('Self-Assessment_Cases'!I308="Not Implemented - Unplanned","1",".")))))))))</f>
        <v>.</v>
      </c>
      <c r="G308" s="13" t="s">
        <v>357</v>
      </c>
      <c r="H308" s="14"/>
      <c r="I308" s="92"/>
      <c r="J308" s="93"/>
      <c r="K308" s="85"/>
    </row>
    <row r="309" spans="1:11" s="83" customFormat="1" ht="112" x14ac:dyDescent="0.2">
      <c r="A309" s="72" t="s">
        <v>145</v>
      </c>
      <c r="B309" s="9" t="s">
        <v>339</v>
      </c>
      <c r="C309" s="89" t="s">
        <v>245</v>
      </c>
      <c r="D309" s="89" t="s">
        <v>1183</v>
      </c>
      <c r="E309" s="4" t="s">
        <v>144</v>
      </c>
      <c r="F309" s="8" t="str">
        <f>IF('Self-Assessment_Cases'!I309="Implemented","5",IF('Self-Assessment_Cases'!I309="In Progress - Administrative","3",IF('Self-Assessment_Cases'!I309="In Progress - Configuration","3",IF('Self-Assessment_Cases'!I309="In Progress - Installation/Upgrade","3",IF('Self-Assessment_Cases'!I309="Not Implemented - Compensating Control","5",IF('Self-Assessment_Cases'!I309="Not Implemented - Risk Negligible","5",IF('Self-Assessment_Cases'!I309="Not Implemented - Risk Accepted","1",IF('Self-Assessment_Cases'!I309="Not Implemented - Planned","1",IF('Self-Assessment_Cases'!I309="Not Implemented - Unplanned","1",".")))))))))</f>
        <v>.</v>
      </c>
      <c r="G309" s="80" t="s">
        <v>704</v>
      </c>
      <c r="H309" s="14"/>
      <c r="I309" s="92"/>
      <c r="J309" s="11"/>
      <c r="K309" s="75"/>
    </row>
    <row r="310" spans="1:11" s="83" customFormat="1" ht="28" x14ac:dyDescent="0.2">
      <c r="A310" s="72" t="s">
        <v>149</v>
      </c>
      <c r="B310" s="9" t="s">
        <v>276</v>
      </c>
      <c r="C310" s="89" t="s">
        <v>245</v>
      </c>
      <c r="D310" s="89" t="s">
        <v>1184</v>
      </c>
      <c r="E310" s="4" t="s">
        <v>148</v>
      </c>
      <c r="F310" s="8" t="str">
        <f>IF('Self-Assessment_Cases'!I310="Implemented","5",IF('Self-Assessment_Cases'!I310="In Progress - Administrative","3",IF('Self-Assessment_Cases'!I310="In Progress - Configuration","3",IF('Self-Assessment_Cases'!I310="In Progress - Installation/Upgrade","3",IF('Self-Assessment_Cases'!I310="Not Implemented - Compensating Control","5",IF('Self-Assessment_Cases'!I310="Not Implemented - Risk Negligible","5",IF('Self-Assessment_Cases'!I310="Not Implemented - Risk Accepted","1",IF('Self-Assessment_Cases'!I310="Not Implemented - Planned","1",IF('Self-Assessment_Cases'!I310="Not Implemented - Unplanned","1",".")))))))))</f>
        <v>.</v>
      </c>
      <c r="G310" s="80" t="s">
        <v>1367</v>
      </c>
      <c r="H310" s="14"/>
      <c r="I310" s="92"/>
      <c r="J310" s="11"/>
      <c r="K310" s="75"/>
    </row>
    <row r="311" spans="1:11" s="83" customFormat="1" ht="28" x14ac:dyDescent="0.2">
      <c r="A311" s="72" t="s">
        <v>149</v>
      </c>
      <c r="B311" s="9" t="s">
        <v>276</v>
      </c>
      <c r="C311" s="89" t="s">
        <v>245</v>
      </c>
      <c r="D311" s="89" t="s">
        <v>816</v>
      </c>
      <c r="E311" s="4" t="s">
        <v>148</v>
      </c>
      <c r="F311" s="8" t="str">
        <f>IF('Self-Assessment_Cases'!I311="Implemented","5",IF('Self-Assessment_Cases'!I311="In Progress - Administrative","3",IF('Self-Assessment_Cases'!I311="In Progress - Configuration","3",IF('Self-Assessment_Cases'!I311="In Progress - Installation/Upgrade","3",IF('Self-Assessment_Cases'!I311="Not Implemented - Compensating Control","5",IF('Self-Assessment_Cases'!I311="Not Implemented - Risk Negligible","5",IF('Self-Assessment_Cases'!I311="Not Implemented - Risk Accepted","1",IF('Self-Assessment_Cases'!I311="Not Implemented - Planned","1",IF('Self-Assessment_Cases'!I311="Not Implemented - Unplanned","1",".")))))))))</f>
        <v>.</v>
      </c>
      <c r="G311" s="80" t="s">
        <v>1368</v>
      </c>
      <c r="H311" s="14"/>
      <c r="I311" s="92"/>
      <c r="J311" s="11"/>
      <c r="K311" s="75"/>
    </row>
    <row r="312" spans="1:11" s="83" customFormat="1" ht="28" x14ac:dyDescent="0.2">
      <c r="A312" s="72" t="s">
        <v>149</v>
      </c>
      <c r="B312" s="9" t="s">
        <v>276</v>
      </c>
      <c r="C312" s="89" t="s">
        <v>245</v>
      </c>
      <c r="D312" s="89" t="s">
        <v>890</v>
      </c>
      <c r="E312" s="4" t="s">
        <v>148</v>
      </c>
      <c r="F312" s="8" t="str">
        <f>IF('Self-Assessment_Cases'!I312="Implemented","5",IF('Self-Assessment_Cases'!I312="In Progress - Administrative","3",IF('Self-Assessment_Cases'!I312="In Progress - Configuration","3",IF('Self-Assessment_Cases'!I312="In Progress - Installation/Upgrade","3",IF('Self-Assessment_Cases'!I312="Not Implemented - Compensating Control","5",IF('Self-Assessment_Cases'!I312="Not Implemented - Risk Negligible","5",IF('Self-Assessment_Cases'!I312="Not Implemented - Risk Accepted","1",IF('Self-Assessment_Cases'!I312="Not Implemented - Planned","1",IF('Self-Assessment_Cases'!I312="Not Implemented - Unplanned","1",".")))))))))</f>
        <v>.</v>
      </c>
      <c r="G312" s="80" t="s">
        <v>1369</v>
      </c>
      <c r="H312" s="14"/>
      <c r="I312" s="92"/>
      <c r="J312" s="11"/>
      <c r="K312" s="75"/>
    </row>
    <row r="313" spans="1:11" s="83" customFormat="1" ht="28" x14ac:dyDescent="0.2">
      <c r="A313" s="72" t="s">
        <v>149</v>
      </c>
      <c r="B313" s="9" t="s">
        <v>276</v>
      </c>
      <c r="C313" s="89" t="s">
        <v>245</v>
      </c>
      <c r="D313" s="89" t="s">
        <v>953</v>
      </c>
      <c r="E313" s="4" t="s">
        <v>148</v>
      </c>
      <c r="F313" s="8" t="str">
        <f>IF('Self-Assessment_Cases'!I313="Implemented","5",IF('Self-Assessment_Cases'!I313="In Progress - Administrative","3",IF('Self-Assessment_Cases'!I313="In Progress - Configuration","3",IF('Self-Assessment_Cases'!I313="In Progress - Installation/Upgrade","3",IF('Self-Assessment_Cases'!I313="Not Implemented - Compensating Control","5",IF('Self-Assessment_Cases'!I313="Not Implemented - Risk Negligible","5",IF('Self-Assessment_Cases'!I313="Not Implemented - Risk Accepted","1",IF('Self-Assessment_Cases'!I313="Not Implemented - Planned","1",IF('Self-Assessment_Cases'!I313="Not Implemented - Unplanned","1",".")))))))))</f>
        <v>.</v>
      </c>
      <c r="G313" s="80" t="s">
        <v>1370</v>
      </c>
      <c r="H313" s="14"/>
      <c r="I313" s="92"/>
      <c r="J313" s="11"/>
      <c r="K313" s="75"/>
    </row>
    <row r="314" spans="1:11" s="83" customFormat="1" ht="28" x14ac:dyDescent="0.2">
      <c r="A314" s="72" t="s">
        <v>149</v>
      </c>
      <c r="B314" s="9" t="s">
        <v>276</v>
      </c>
      <c r="C314" s="89" t="s">
        <v>245</v>
      </c>
      <c r="D314" s="89" t="s">
        <v>997</v>
      </c>
      <c r="E314" s="4" t="s">
        <v>148</v>
      </c>
      <c r="F314" s="8" t="str">
        <f>IF('Self-Assessment_Cases'!I314="Implemented","5",IF('Self-Assessment_Cases'!I314="In Progress - Administrative","3",IF('Self-Assessment_Cases'!I314="In Progress - Configuration","3",IF('Self-Assessment_Cases'!I314="In Progress - Installation/Upgrade","3",IF('Self-Assessment_Cases'!I314="Not Implemented - Compensating Control","5",IF('Self-Assessment_Cases'!I314="Not Implemented - Risk Negligible","5",IF('Self-Assessment_Cases'!I314="Not Implemented - Risk Accepted","1",IF('Self-Assessment_Cases'!I314="Not Implemented - Planned","1",IF('Self-Assessment_Cases'!I314="Not Implemented - Unplanned","1",".")))))))))</f>
        <v>.</v>
      </c>
      <c r="G314" s="80" t="s">
        <v>1371</v>
      </c>
      <c r="H314" s="14"/>
      <c r="I314" s="92"/>
      <c r="J314" s="11"/>
      <c r="K314" s="75"/>
    </row>
    <row r="315" spans="1:11" s="83" customFormat="1" ht="28" x14ac:dyDescent="0.2">
      <c r="A315" s="72" t="s">
        <v>149</v>
      </c>
      <c r="B315" s="9" t="s">
        <v>276</v>
      </c>
      <c r="C315" s="89" t="s">
        <v>245</v>
      </c>
      <c r="D315" s="89" t="s">
        <v>1028</v>
      </c>
      <c r="E315" s="4" t="s">
        <v>148</v>
      </c>
      <c r="F315" s="8" t="str">
        <f>IF('Self-Assessment_Cases'!I315="Implemented","5",IF('Self-Assessment_Cases'!I315="In Progress - Administrative","3",IF('Self-Assessment_Cases'!I315="In Progress - Configuration","3",IF('Self-Assessment_Cases'!I315="In Progress - Installation/Upgrade","3",IF('Self-Assessment_Cases'!I315="Not Implemented - Compensating Control","5",IF('Self-Assessment_Cases'!I315="Not Implemented - Risk Negligible","5",IF('Self-Assessment_Cases'!I315="Not Implemented - Risk Accepted","1",IF('Self-Assessment_Cases'!I315="Not Implemented - Planned","1",IF('Self-Assessment_Cases'!I315="Not Implemented - Unplanned","1",".")))))))))</f>
        <v>.</v>
      </c>
      <c r="G315" s="80" t="s">
        <v>1372</v>
      </c>
      <c r="H315" s="14"/>
      <c r="I315" s="92"/>
      <c r="J315" s="11"/>
      <c r="K315" s="75"/>
    </row>
    <row r="316" spans="1:11" s="79" customFormat="1" ht="42" x14ac:dyDescent="0.2">
      <c r="A316" s="72" t="s">
        <v>149</v>
      </c>
      <c r="B316" s="9" t="s">
        <v>276</v>
      </c>
      <c r="C316" s="89" t="s">
        <v>245</v>
      </c>
      <c r="D316" s="89" t="s">
        <v>1053</v>
      </c>
      <c r="E316" s="4" t="s">
        <v>148</v>
      </c>
      <c r="F316" s="8" t="str">
        <f>IF('Self-Assessment_Cases'!I316="Implemented","5",IF('Self-Assessment_Cases'!I316="In Progress - Administrative","3",IF('Self-Assessment_Cases'!I316="In Progress - Configuration","3",IF('Self-Assessment_Cases'!I316="In Progress - Installation/Upgrade","3",IF('Self-Assessment_Cases'!I316="Not Implemented - Compensating Control","5",IF('Self-Assessment_Cases'!I316="Not Implemented - Risk Negligible","5",IF('Self-Assessment_Cases'!I316="Not Implemented - Risk Accepted","1",IF('Self-Assessment_Cases'!I316="Not Implemented - Planned","1",IF('Self-Assessment_Cases'!I316="Not Implemented - Unplanned","1",".")))))))))</f>
        <v>.</v>
      </c>
      <c r="G316" s="75" t="s">
        <v>1373</v>
      </c>
      <c r="H316" s="14"/>
      <c r="I316" s="92"/>
      <c r="J316" s="11"/>
      <c r="K316" s="75"/>
    </row>
    <row r="317" spans="1:11" s="79" customFormat="1" ht="42" x14ac:dyDescent="0.2">
      <c r="A317" s="72" t="s">
        <v>149</v>
      </c>
      <c r="B317" s="9" t="s">
        <v>276</v>
      </c>
      <c r="C317" s="89" t="s">
        <v>245</v>
      </c>
      <c r="D317" s="89" t="s">
        <v>1074</v>
      </c>
      <c r="E317" s="4" t="s">
        <v>148</v>
      </c>
      <c r="F317" s="8" t="str">
        <f>IF('Self-Assessment_Cases'!I317="Implemented","5",IF('Self-Assessment_Cases'!I317="In Progress - Administrative","3",IF('Self-Assessment_Cases'!I317="In Progress - Configuration","3",IF('Self-Assessment_Cases'!I317="In Progress - Installation/Upgrade","3",IF('Self-Assessment_Cases'!I317="Not Implemented - Compensating Control","5",IF('Self-Assessment_Cases'!I317="Not Implemented - Risk Negligible","5",IF('Self-Assessment_Cases'!I317="Not Implemented - Risk Accepted","1",IF('Self-Assessment_Cases'!I317="Not Implemented - Planned","1",IF('Self-Assessment_Cases'!I317="Not Implemented - Unplanned","1",".")))))))))</f>
        <v>.</v>
      </c>
      <c r="G317" s="75" t="s">
        <v>1374</v>
      </c>
      <c r="H317" s="14"/>
      <c r="I317" s="92"/>
      <c r="J317" s="11"/>
      <c r="K317" s="75"/>
    </row>
    <row r="318" spans="1:11" s="83" customFormat="1" ht="42" x14ac:dyDescent="0.2">
      <c r="A318" s="72" t="s">
        <v>149</v>
      </c>
      <c r="B318" s="9" t="s">
        <v>276</v>
      </c>
      <c r="C318" s="89" t="s">
        <v>245</v>
      </c>
      <c r="D318" s="89" t="s">
        <v>1093</v>
      </c>
      <c r="E318" s="4" t="s">
        <v>148</v>
      </c>
      <c r="F318" s="8" t="str">
        <f>IF('Self-Assessment_Cases'!I318="Implemented","5",IF('Self-Assessment_Cases'!I318="In Progress - Administrative","3",IF('Self-Assessment_Cases'!I318="In Progress - Configuration","3",IF('Self-Assessment_Cases'!I318="In Progress - Installation/Upgrade","3",IF('Self-Assessment_Cases'!I318="Not Implemented - Compensating Control","5",IF('Self-Assessment_Cases'!I318="Not Implemented - Risk Negligible","5",IF('Self-Assessment_Cases'!I318="Not Implemented - Risk Accepted","1",IF('Self-Assessment_Cases'!I318="Not Implemented - Planned","1",IF('Self-Assessment_Cases'!I318="Not Implemented - Unplanned","1",".")))))))))</f>
        <v>.</v>
      </c>
      <c r="G318" s="75" t="s">
        <v>389</v>
      </c>
      <c r="H318" s="14"/>
      <c r="I318" s="92"/>
      <c r="J318" s="11"/>
      <c r="K318" s="75"/>
    </row>
    <row r="319" spans="1:11" s="83" customFormat="1" ht="42" x14ac:dyDescent="0.2">
      <c r="A319" s="72" t="s">
        <v>149</v>
      </c>
      <c r="B319" s="9" t="s">
        <v>276</v>
      </c>
      <c r="C319" s="89" t="s">
        <v>245</v>
      </c>
      <c r="D319" s="89" t="s">
        <v>1366</v>
      </c>
      <c r="E319" s="4" t="s">
        <v>148</v>
      </c>
      <c r="F319" s="8" t="str">
        <f>IF('Self-Assessment_Cases'!I319="Implemented","5",IF('Self-Assessment_Cases'!I319="In Progress - Administrative","3",IF('Self-Assessment_Cases'!I319="In Progress - Configuration","3",IF('Self-Assessment_Cases'!I319="In Progress - Installation/Upgrade","3",IF('Self-Assessment_Cases'!I319="Not Implemented - Compensating Control","5",IF('Self-Assessment_Cases'!I319="Not Implemented - Risk Negligible","5",IF('Self-Assessment_Cases'!I319="Not Implemented - Risk Accepted","1",IF('Self-Assessment_Cases'!I319="Not Implemented - Planned","1",IF('Self-Assessment_Cases'!I319="Not Implemented - Unplanned","1",".")))))))))</f>
        <v>.</v>
      </c>
      <c r="G319" s="80" t="s">
        <v>390</v>
      </c>
      <c r="H319" s="14"/>
      <c r="I319" s="92"/>
      <c r="J319" s="11"/>
      <c r="K319" s="75"/>
    </row>
    <row r="320" spans="1:11" s="83" customFormat="1" ht="56" x14ac:dyDescent="0.2">
      <c r="A320" s="72" t="s">
        <v>151</v>
      </c>
      <c r="B320" s="9" t="s">
        <v>277</v>
      </c>
      <c r="C320" s="89" t="s">
        <v>245</v>
      </c>
      <c r="D320" s="89" t="s">
        <v>1185</v>
      </c>
      <c r="E320" s="4" t="s">
        <v>150</v>
      </c>
      <c r="F320" s="8" t="str">
        <f>IF('Self-Assessment_Cases'!I320="Implemented","5",IF('Self-Assessment_Cases'!I320="In Progress - Administrative","3",IF('Self-Assessment_Cases'!I320="In Progress - Configuration","3",IF('Self-Assessment_Cases'!I320="In Progress - Installation/Upgrade","3",IF('Self-Assessment_Cases'!I320="Not Implemented - Compensating Control","5",IF('Self-Assessment_Cases'!I320="Not Implemented - Risk Negligible","5",IF('Self-Assessment_Cases'!I320="Not Implemented - Risk Accepted","1",IF('Self-Assessment_Cases'!I320="Not Implemented - Planned","1",IF('Self-Assessment_Cases'!I320="Not Implemented - Unplanned","1",".")))))))))</f>
        <v>.</v>
      </c>
      <c r="G320" s="80" t="s">
        <v>735</v>
      </c>
      <c r="H320" s="14"/>
      <c r="I320" s="92"/>
      <c r="J320" s="11"/>
      <c r="K320" s="75"/>
    </row>
    <row r="321" spans="1:11" s="83" customFormat="1" ht="28" x14ac:dyDescent="0.2">
      <c r="A321" s="72" t="s">
        <v>151</v>
      </c>
      <c r="B321" s="9" t="s">
        <v>277</v>
      </c>
      <c r="C321" s="89" t="s">
        <v>245</v>
      </c>
      <c r="D321" s="89" t="s">
        <v>817</v>
      </c>
      <c r="E321" s="4" t="s">
        <v>150</v>
      </c>
      <c r="F321" s="8" t="str">
        <f>IF('Self-Assessment_Cases'!I321="Implemented","5",IF('Self-Assessment_Cases'!I321="In Progress - Administrative","3",IF('Self-Assessment_Cases'!I321="In Progress - Configuration","3",IF('Self-Assessment_Cases'!I321="In Progress - Installation/Upgrade","3",IF('Self-Assessment_Cases'!I321="Not Implemented - Compensating Control","5",IF('Self-Assessment_Cases'!I321="Not Implemented - Risk Negligible","5",IF('Self-Assessment_Cases'!I321="Not Implemented - Risk Accepted","1",IF('Self-Assessment_Cases'!I321="Not Implemented - Planned","1",IF('Self-Assessment_Cases'!I321="Not Implemented - Unplanned","1",".")))))))))</f>
        <v>.</v>
      </c>
      <c r="G321" s="80" t="s">
        <v>736</v>
      </c>
      <c r="H321" s="14"/>
      <c r="I321" s="92"/>
      <c r="J321" s="11"/>
      <c r="K321" s="75"/>
    </row>
    <row r="322" spans="1:11" s="79" customFormat="1" ht="28" x14ac:dyDescent="0.2">
      <c r="A322" s="72" t="s">
        <v>151</v>
      </c>
      <c r="B322" s="9" t="s">
        <v>277</v>
      </c>
      <c r="C322" s="89" t="s">
        <v>245</v>
      </c>
      <c r="D322" s="89" t="s">
        <v>891</v>
      </c>
      <c r="E322" s="4" t="s">
        <v>150</v>
      </c>
      <c r="F322" s="8" t="str">
        <f>IF('Self-Assessment_Cases'!I322="Implemented","5",IF('Self-Assessment_Cases'!I322="In Progress - Administrative","3",IF('Self-Assessment_Cases'!I322="In Progress - Configuration","3",IF('Self-Assessment_Cases'!I322="In Progress - Installation/Upgrade","3",IF('Self-Assessment_Cases'!I322="Not Implemented - Compensating Control","5",IF('Self-Assessment_Cases'!I322="Not Implemented - Risk Negligible","5",IF('Self-Assessment_Cases'!I322="Not Implemented - Risk Accepted","1",IF('Self-Assessment_Cases'!I322="Not Implemented - Planned","1",IF('Self-Assessment_Cases'!I322="Not Implemented - Unplanned","1",".")))))))))</f>
        <v>.</v>
      </c>
      <c r="G322" s="75" t="s">
        <v>737</v>
      </c>
      <c r="H322" s="14"/>
      <c r="I322" s="92"/>
      <c r="J322" s="11"/>
      <c r="K322" s="75"/>
    </row>
    <row r="323" spans="1:11" s="79" customFormat="1" ht="28" x14ac:dyDescent="0.2">
      <c r="A323" s="72" t="s">
        <v>151</v>
      </c>
      <c r="B323" s="9" t="s">
        <v>277</v>
      </c>
      <c r="C323" s="89" t="s">
        <v>245</v>
      </c>
      <c r="D323" s="89" t="s">
        <v>954</v>
      </c>
      <c r="E323" s="4" t="s">
        <v>150</v>
      </c>
      <c r="F323" s="8" t="str">
        <f>IF('Self-Assessment_Cases'!I323="Implemented","5",IF('Self-Assessment_Cases'!I323="In Progress - Administrative","3",IF('Self-Assessment_Cases'!I323="In Progress - Configuration","3",IF('Self-Assessment_Cases'!I323="In Progress - Installation/Upgrade","3",IF('Self-Assessment_Cases'!I323="Not Implemented - Compensating Control","5",IF('Self-Assessment_Cases'!I323="Not Implemented - Risk Negligible","5",IF('Self-Assessment_Cases'!I323="Not Implemented - Risk Accepted","1",IF('Self-Assessment_Cases'!I323="Not Implemented - Planned","1",IF('Self-Assessment_Cases'!I323="Not Implemented - Unplanned","1",".")))))))))</f>
        <v>.</v>
      </c>
      <c r="G323" s="75" t="s">
        <v>458</v>
      </c>
      <c r="H323" s="14"/>
      <c r="I323" s="92"/>
      <c r="J323" s="11"/>
      <c r="K323" s="75"/>
    </row>
    <row r="324" spans="1:11" s="79" customFormat="1" ht="42" x14ac:dyDescent="0.2">
      <c r="A324" s="72" t="s">
        <v>152</v>
      </c>
      <c r="B324" s="9" t="s">
        <v>289</v>
      </c>
      <c r="C324" s="89" t="s">
        <v>245</v>
      </c>
      <c r="D324" s="88" t="s">
        <v>1186</v>
      </c>
      <c r="E324" s="4" t="s">
        <v>750</v>
      </c>
      <c r="F324" s="8" t="str">
        <f>IF('Self-Assessment_Cases'!I324="Implemented","5",IF('Self-Assessment_Cases'!I324="In Progress - Administrative","3",IF('Self-Assessment_Cases'!I324="In Progress - Configuration","3",IF('Self-Assessment_Cases'!I324="In Progress - Installation/Upgrade","3",IF('Self-Assessment_Cases'!I324="Not Implemented - Compensating Control","5",IF('Self-Assessment_Cases'!I324="Not Implemented - Risk Negligible","5",IF('Self-Assessment_Cases'!I324="Not Implemented - Risk Accepted","1",IF('Self-Assessment_Cases'!I324="Not Implemented - Planned","1",IF('Self-Assessment_Cases'!I324="Not Implemented - Unplanned","1",".")))))))))</f>
        <v>.</v>
      </c>
      <c r="G324" s="75" t="s">
        <v>402</v>
      </c>
      <c r="H324" s="14"/>
      <c r="I324" s="92"/>
      <c r="J324" s="11"/>
      <c r="K324" s="75"/>
    </row>
    <row r="325" spans="1:11" s="83" customFormat="1" ht="28" x14ac:dyDescent="0.2">
      <c r="A325" s="72" t="s">
        <v>152</v>
      </c>
      <c r="B325" s="9" t="s">
        <v>289</v>
      </c>
      <c r="C325" s="89" t="s">
        <v>245</v>
      </c>
      <c r="D325" s="88" t="s">
        <v>818</v>
      </c>
      <c r="E325" s="4" t="s">
        <v>750</v>
      </c>
      <c r="F325" s="8" t="str">
        <f>IF('Self-Assessment_Cases'!I325="Implemented","5",IF('Self-Assessment_Cases'!I325="In Progress - Administrative","3",IF('Self-Assessment_Cases'!I325="In Progress - Configuration","3",IF('Self-Assessment_Cases'!I325="In Progress - Installation/Upgrade","3",IF('Self-Assessment_Cases'!I325="Not Implemented - Compensating Control","5",IF('Self-Assessment_Cases'!I325="Not Implemented - Risk Negligible","5",IF('Self-Assessment_Cases'!I325="Not Implemented - Risk Accepted","1",IF('Self-Assessment_Cases'!I325="Not Implemented - Planned","1",IF('Self-Assessment_Cases'!I325="Not Implemented - Unplanned","1",".")))))))))</f>
        <v>.</v>
      </c>
      <c r="G325" s="75" t="s">
        <v>403</v>
      </c>
      <c r="H325" s="14"/>
      <c r="I325" s="92"/>
      <c r="J325" s="11"/>
      <c r="K325" s="75"/>
    </row>
    <row r="326" spans="1:11" s="79" customFormat="1" ht="42" x14ac:dyDescent="0.2">
      <c r="A326" s="72" t="s">
        <v>152</v>
      </c>
      <c r="B326" s="9" t="s">
        <v>289</v>
      </c>
      <c r="C326" s="89" t="s">
        <v>245</v>
      </c>
      <c r="D326" s="88" t="s">
        <v>892</v>
      </c>
      <c r="E326" s="4" t="s">
        <v>750</v>
      </c>
      <c r="F326" s="8" t="str">
        <f>IF('Self-Assessment_Cases'!I326="Implemented","5",IF('Self-Assessment_Cases'!I326="In Progress - Administrative","3",IF('Self-Assessment_Cases'!I326="In Progress - Configuration","3",IF('Self-Assessment_Cases'!I326="In Progress - Installation/Upgrade","3",IF('Self-Assessment_Cases'!I326="Not Implemented - Compensating Control","5",IF('Self-Assessment_Cases'!I326="Not Implemented - Risk Negligible","5",IF('Self-Assessment_Cases'!I326="Not Implemented - Risk Accepted","1",IF('Self-Assessment_Cases'!I326="Not Implemented - Planned","1",IF('Self-Assessment_Cases'!I326="Not Implemented - Unplanned","1",".")))))))))</f>
        <v>.</v>
      </c>
      <c r="G326" s="80" t="s">
        <v>404</v>
      </c>
      <c r="H326" s="14"/>
      <c r="I326" s="92"/>
      <c r="J326" s="11"/>
      <c r="K326" s="75"/>
    </row>
    <row r="327" spans="1:11" s="79" customFormat="1" ht="28" x14ac:dyDescent="0.2">
      <c r="A327" s="72" t="s">
        <v>152</v>
      </c>
      <c r="B327" s="9" t="s">
        <v>289</v>
      </c>
      <c r="C327" s="89" t="s">
        <v>245</v>
      </c>
      <c r="D327" s="88" t="s">
        <v>955</v>
      </c>
      <c r="E327" s="4" t="s">
        <v>750</v>
      </c>
      <c r="F327" s="8" t="str">
        <f>IF('Self-Assessment_Cases'!I327="Implemented","5",IF('Self-Assessment_Cases'!I327="In Progress - Administrative","3",IF('Self-Assessment_Cases'!I327="In Progress - Configuration","3",IF('Self-Assessment_Cases'!I327="In Progress - Installation/Upgrade","3",IF('Self-Assessment_Cases'!I327="Not Implemented - Compensating Control","5",IF('Self-Assessment_Cases'!I327="Not Implemented - Risk Negligible","5",IF('Self-Assessment_Cases'!I327="Not Implemented - Risk Accepted","1",IF('Self-Assessment_Cases'!I327="Not Implemented - Planned","1",IF('Self-Assessment_Cases'!I327="Not Implemented - Unplanned","1",".")))))))))</f>
        <v>.</v>
      </c>
      <c r="G327" s="80" t="s">
        <v>405</v>
      </c>
      <c r="H327" s="14"/>
      <c r="I327" s="92"/>
      <c r="J327" s="11"/>
      <c r="K327" s="75"/>
    </row>
    <row r="328" spans="1:11" s="79" customFormat="1" ht="42" x14ac:dyDescent="0.2">
      <c r="A328" s="72" t="s">
        <v>152</v>
      </c>
      <c r="B328" s="9" t="s">
        <v>289</v>
      </c>
      <c r="C328" s="89" t="s">
        <v>245</v>
      </c>
      <c r="D328" s="88" t="s">
        <v>998</v>
      </c>
      <c r="E328" s="4" t="s">
        <v>750</v>
      </c>
      <c r="F328" s="8" t="str">
        <f>IF('Self-Assessment_Cases'!I328="Implemented","5",IF('Self-Assessment_Cases'!I328="In Progress - Administrative","3",IF('Self-Assessment_Cases'!I328="In Progress - Configuration","3",IF('Self-Assessment_Cases'!I328="In Progress - Installation/Upgrade","3",IF('Self-Assessment_Cases'!I328="Not Implemented - Compensating Control","5",IF('Self-Assessment_Cases'!I328="Not Implemented - Risk Negligible","5",IF('Self-Assessment_Cases'!I328="Not Implemented - Risk Accepted","1",IF('Self-Assessment_Cases'!I328="Not Implemented - Planned","1",IF('Self-Assessment_Cases'!I328="Not Implemented - Unplanned","1",".")))))))))</f>
        <v>.</v>
      </c>
      <c r="G328" s="80" t="s">
        <v>718</v>
      </c>
      <c r="H328" s="14"/>
      <c r="I328" s="92"/>
      <c r="J328" s="11"/>
      <c r="K328" s="75"/>
    </row>
    <row r="329" spans="1:11" s="3" customFormat="1" ht="84" x14ac:dyDescent="0.2">
      <c r="A329" s="4" t="s">
        <v>154</v>
      </c>
      <c r="B329" s="9"/>
      <c r="C329" s="89" t="s">
        <v>246</v>
      </c>
      <c r="D329" s="89" t="s">
        <v>1187</v>
      </c>
      <c r="E329" s="4" t="s">
        <v>153</v>
      </c>
      <c r="F329" s="8" t="str">
        <f>IF('Self-Assessment_Cases'!I329="Implemented","5",IF('Self-Assessment_Cases'!I329="In Progress - Administrative","3",IF('Self-Assessment_Cases'!I329="In Progress - Configuration","3",IF('Self-Assessment_Cases'!I329="In Progress - Installation/Upgrade","3",IF('Self-Assessment_Cases'!I329="Not Implemented - Compensating Control","5",IF('Self-Assessment_Cases'!I329="Not Implemented - Risk Negligible","5",IF('Self-Assessment_Cases'!I329="Not Implemented - Risk Accepted","1",IF('Self-Assessment_Cases'!I329="Not Implemented - Planned","1",IF('Self-Assessment_Cases'!I329="Not Implemented - Unplanned","1",".")))))))))</f>
        <v>.</v>
      </c>
      <c r="G329" s="13" t="s">
        <v>530</v>
      </c>
      <c r="H329" s="14"/>
      <c r="I329" s="92"/>
      <c r="J329" s="93"/>
      <c r="K329" s="85"/>
    </row>
    <row r="330" spans="1:11" s="3" customFormat="1" ht="70" x14ac:dyDescent="0.2">
      <c r="A330" s="4" t="s">
        <v>154</v>
      </c>
      <c r="B330" s="9"/>
      <c r="C330" s="89" t="s">
        <v>246</v>
      </c>
      <c r="D330" s="89" t="s">
        <v>819</v>
      </c>
      <c r="E330" s="4" t="s">
        <v>153</v>
      </c>
      <c r="F330" s="8" t="str">
        <f>IF('Self-Assessment_Cases'!I330="Implemented","5",IF('Self-Assessment_Cases'!I330="In Progress - Administrative","3",IF('Self-Assessment_Cases'!I330="In Progress - Configuration","3",IF('Self-Assessment_Cases'!I330="In Progress - Installation/Upgrade","3",IF('Self-Assessment_Cases'!I330="Not Implemented - Compensating Control","5",IF('Self-Assessment_Cases'!I330="Not Implemented - Risk Negligible","5",IF('Self-Assessment_Cases'!I330="Not Implemented - Risk Accepted","1",IF('Self-Assessment_Cases'!I330="Not Implemented - Planned","1",IF('Self-Assessment_Cases'!I330="Not Implemented - Unplanned","1",".")))))))))</f>
        <v>.</v>
      </c>
      <c r="G330" s="13" t="s">
        <v>531</v>
      </c>
      <c r="H330" s="14"/>
      <c r="I330" s="92"/>
      <c r="J330" s="93"/>
      <c r="K330" s="85"/>
    </row>
    <row r="331" spans="1:11" s="3" customFormat="1" ht="70" x14ac:dyDescent="0.2">
      <c r="A331" s="4" t="s">
        <v>154</v>
      </c>
      <c r="B331" s="9"/>
      <c r="C331" s="89" t="s">
        <v>246</v>
      </c>
      <c r="D331" s="89" t="s">
        <v>893</v>
      </c>
      <c r="E331" s="4" t="s">
        <v>153</v>
      </c>
      <c r="F331" s="8" t="str">
        <f>IF('Self-Assessment_Cases'!I331="Implemented","5",IF('Self-Assessment_Cases'!I331="In Progress - Administrative","3",IF('Self-Assessment_Cases'!I331="In Progress - Configuration","3",IF('Self-Assessment_Cases'!I331="In Progress - Installation/Upgrade","3",IF('Self-Assessment_Cases'!I331="Not Implemented - Compensating Control","5",IF('Self-Assessment_Cases'!I331="Not Implemented - Risk Negligible","5",IF('Self-Assessment_Cases'!I331="Not Implemented - Risk Accepted","1",IF('Self-Assessment_Cases'!I331="Not Implemented - Planned","1",IF('Self-Assessment_Cases'!I331="Not Implemented - Unplanned","1",".")))))))))</f>
        <v>.</v>
      </c>
      <c r="G331" s="9" t="s">
        <v>532</v>
      </c>
      <c r="H331" s="14"/>
      <c r="I331" s="92"/>
      <c r="J331" s="93"/>
      <c r="K331" s="85"/>
    </row>
    <row r="332" spans="1:11" s="3" customFormat="1" ht="56" x14ac:dyDescent="0.2">
      <c r="A332" s="4" t="s">
        <v>154</v>
      </c>
      <c r="B332" s="9"/>
      <c r="C332" s="89" t="s">
        <v>246</v>
      </c>
      <c r="D332" s="89" t="s">
        <v>956</v>
      </c>
      <c r="E332" s="4" t="s">
        <v>153</v>
      </c>
      <c r="F332" s="8" t="str">
        <f>IF('Self-Assessment_Cases'!I332="Implemented","5",IF('Self-Assessment_Cases'!I332="In Progress - Administrative","3",IF('Self-Assessment_Cases'!I332="In Progress - Configuration","3",IF('Self-Assessment_Cases'!I332="In Progress - Installation/Upgrade","3",IF('Self-Assessment_Cases'!I332="Not Implemented - Compensating Control","5",IF('Self-Assessment_Cases'!I332="Not Implemented - Risk Negligible","5",IF('Self-Assessment_Cases'!I332="Not Implemented - Risk Accepted","1",IF('Self-Assessment_Cases'!I332="Not Implemented - Planned","1",IF('Self-Assessment_Cases'!I332="Not Implemented - Unplanned","1",".")))))))))</f>
        <v>.</v>
      </c>
      <c r="G332" s="9" t="s">
        <v>533</v>
      </c>
      <c r="H332" s="14"/>
      <c r="I332" s="92"/>
      <c r="J332" s="93"/>
      <c r="K332" s="85"/>
    </row>
    <row r="333" spans="1:11" s="3" customFormat="1" ht="56" x14ac:dyDescent="0.2">
      <c r="A333" s="4" t="s">
        <v>154</v>
      </c>
      <c r="B333" s="9"/>
      <c r="C333" s="89" t="s">
        <v>246</v>
      </c>
      <c r="D333" s="89" t="s">
        <v>999</v>
      </c>
      <c r="E333" s="4" t="s">
        <v>153</v>
      </c>
      <c r="F333" s="8" t="str">
        <f>IF('Self-Assessment_Cases'!I333="Implemented","5",IF('Self-Assessment_Cases'!I333="In Progress - Administrative","3",IF('Self-Assessment_Cases'!I333="In Progress - Configuration","3",IF('Self-Assessment_Cases'!I333="In Progress - Installation/Upgrade","3",IF('Self-Assessment_Cases'!I333="Not Implemented - Compensating Control","5",IF('Self-Assessment_Cases'!I333="Not Implemented - Risk Negligible","5",IF('Self-Assessment_Cases'!I333="Not Implemented - Risk Accepted","1",IF('Self-Assessment_Cases'!I333="Not Implemented - Planned","1",IF('Self-Assessment_Cases'!I333="Not Implemented - Unplanned","1",".")))))))))</f>
        <v>.</v>
      </c>
      <c r="G333" s="9" t="s">
        <v>534</v>
      </c>
      <c r="H333" s="14"/>
      <c r="I333" s="92"/>
      <c r="J333" s="93"/>
      <c r="K333" s="85"/>
    </row>
    <row r="334" spans="1:11" s="3" customFormat="1" ht="84" x14ac:dyDescent="0.2">
      <c r="A334" s="4" t="s">
        <v>257</v>
      </c>
      <c r="B334" s="9"/>
      <c r="C334" s="89" t="s">
        <v>247</v>
      </c>
      <c r="D334" s="89" t="s">
        <v>1188</v>
      </c>
      <c r="E334" s="7" t="s">
        <v>234</v>
      </c>
      <c r="F334" s="8" t="str">
        <f>IF('Self-Assessment_Cases'!I334="Implemented","5",IF('Self-Assessment_Cases'!I334="In Progress - Administrative","3",IF('Self-Assessment_Cases'!I334="In Progress - Configuration","3",IF('Self-Assessment_Cases'!I334="In Progress - Installation/Upgrade","3",IF('Self-Assessment_Cases'!I334="Not Implemented - Compensating Control","5",IF('Self-Assessment_Cases'!I334="Not Implemented - Risk Negligible","5",IF('Self-Assessment_Cases'!I334="Not Implemented - Risk Accepted","1",IF('Self-Assessment_Cases'!I334="Not Implemented - Planned","1",IF('Self-Assessment_Cases'!I334="Not Implemented - Unplanned","1",".")))))))))</f>
        <v>.</v>
      </c>
      <c r="G334" s="9" t="s">
        <v>605</v>
      </c>
      <c r="H334" s="14"/>
      <c r="I334" s="92"/>
      <c r="J334" s="14"/>
      <c r="K334" s="9"/>
    </row>
    <row r="335" spans="1:11" s="6" customFormat="1" ht="84" x14ac:dyDescent="0.2">
      <c r="A335" s="4" t="s">
        <v>257</v>
      </c>
      <c r="B335" s="9"/>
      <c r="C335" s="89" t="s">
        <v>247</v>
      </c>
      <c r="D335" s="89" t="s">
        <v>820</v>
      </c>
      <c r="E335" s="7" t="s">
        <v>234</v>
      </c>
      <c r="F335" s="8" t="str">
        <f>IF('Self-Assessment_Cases'!I335="Implemented","5",IF('Self-Assessment_Cases'!I335="In Progress - Administrative","3",IF('Self-Assessment_Cases'!I335="In Progress - Configuration","3",IF('Self-Assessment_Cases'!I335="In Progress - Installation/Upgrade","3",IF('Self-Assessment_Cases'!I335="Not Implemented - Compensating Control","5",IF('Self-Assessment_Cases'!I335="Not Implemented - Risk Negligible","5",IF('Self-Assessment_Cases'!I335="Not Implemented - Risk Accepted","1",IF('Self-Assessment_Cases'!I335="Not Implemented - Planned","1",IF('Self-Assessment_Cases'!I335="Not Implemented - Unplanned","1",".")))))))))</f>
        <v>.</v>
      </c>
      <c r="G335" s="9" t="s">
        <v>606</v>
      </c>
      <c r="H335" s="14"/>
      <c r="I335" s="92"/>
      <c r="J335" s="14"/>
      <c r="K335" s="9"/>
    </row>
    <row r="336" spans="1:11" s="6" customFormat="1" ht="84" x14ac:dyDescent="0.2">
      <c r="A336" s="4" t="s">
        <v>257</v>
      </c>
      <c r="B336" s="9"/>
      <c r="C336" s="89" t="s">
        <v>247</v>
      </c>
      <c r="D336" s="89" t="s">
        <v>894</v>
      </c>
      <c r="E336" s="7" t="s">
        <v>234</v>
      </c>
      <c r="F336" s="8" t="str">
        <f>IF('Self-Assessment_Cases'!I336="Implemented","5",IF('Self-Assessment_Cases'!I336="In Progress - Administrative","3",IF('Self-Assessment_Cases'!I336="In Progress - Configuration","3",IF('Self-Assessment_Cases'!I336="In Progress - Installation/Upgrade","3",IF('Self-Assessment_Cases'!I336="Not Implemented - Compensating Control","5",IF('Self-Assessment_Cases'!I336="Not Implemented - Risk Negligible","5",IF('Self-Assessment_Cases'!I336="Not Implemented - Risk Accepted","1",IF('Self-Assessment_Cases'!I336="Not Implemented - Planned","1",IF('Self-Assessment_Cases'!I336="Not Implemented - Unplanned","1",".")))))))))</f>
        <v>.</v>
      </c>
      <c r="G336" s="9" t="s">
        <v>607</v>
      </c>
      <c r="H336" s="14"/>
      <c r="I336" s="92"/>
      <c r="J336" s="14"/>
      <c r="K336" s="9"/>
    </row>
    <row r="337" spans="1:11" s="6" customFormat="1" ht="98" x14ac:dyDescent="0.2">
      <c r="A337" s="4" t="s">
        <v>257</v>
      </c>
      <c r="B337" s="9"/>
      <c r="C337" s="89" t="s">
        <v>247</v>
      </c>
      <c r="D337" s="89" t="s">
        <v>957</v>
      </c>
      <c r="E337" s="7" t="s">
        <v>234</v>
      </c>
      <c r="F337" s="8" t="str">
        <f>IF('Self-Assessment_Cases'!I337="Implemented","5",IF('Self-Assessment_Cases'!I337="In Progress - Administrative","3",IF('Self-Assessment_Cases'!I337="In Progress - Configuration","3",IF('Self-Assessment_Cases'!I337="In Progress - Installation/Upgrade","3",IF('Self-Assessment_Cases'!I337="Not Implemented - Compensating Control","5",IF('Self-Assessment_Cases'!I337="Not Implemented - Risk Negligible","5",IF('Self-Assessment_Cases'!I337="Not Implemented - Risk Accepted","1",IF('Self-Assessment_Cases'!I337="Not Implemented - Planned","1",IF('Self-Assessment_Cases'!I337="Not Implemented - Unplanned","1",".")))))))))</f>
        <v>.</v>
      </c>
      <c r="G337" s="9" t="s">
        <v>608</v>
      </c>
      <c r="H337" s="14"/>
      <c r="I337" s="92"/>
      <c r="J337" s="14"/>
      <c r="K337" s="9"/>
    </row>
    <row r="338" spans="1:11" s="6" customFormat="1" ht="42" x14ac:dyDescent="0.2">
      <c r="A338" s="4" t="s">
        <v>257</v>
      </c>
      <c r="B338" s="9"/>
      <c r="C338" s="89" t="s">
        <v>247</v>
      </c>
      <c r="D338" s="89" t="s">
        <v>1000</v>
      </c>
      <c r="E338" s="7" t="s">
        <v>234</v>
      </c>
      <c r="F338" s="8" t="str">
        <f>IF('Self-Assessment_Cases'!I338="Implemented","5",IF('Self-Assessment_Cases'!I338="In Progress - Administrative","3",IF('Self-Assessment_Cases'!I338="In Progress - Configuration","3",IF('Self-Assessment_Cases'!I338="In Progress - Installation/Upgrade","3",IF('Self-Assessment_Cases'!I338="Not Implemented - Compensating Control","5",IF('Self-Assessment_Cases'!I338="Not Implemented - Risk Negligible","5",IF('Self-Assessment_Cases'!I338="Not Implemented - Risk Accepted","1",IF('Self-Assessment_Cases'!I338="Not Implemented - Planned","1",IF('Self-Assessment_Cases'!I338="Not Implemented - Unplanned","1",".")))))))))</f>
        <v>.</v>
      </c>
      <c r="G338" s="9" t="s">
        <v>609</v>
      </c>
      <c r="H338" s="14"/>
      <c r="I338" s="92"/>
      <c r="J338" s="14"/>
      <c r="K338" s="9"/>
    </row>
    <row r="339" spans="1:11" s="6" customFormat="1" ht="56" x14ac:dyDescent="0.2">
      <c r="A339" s="4" t="s">
        <v>257</v>
      </c>
      <c r="B339" s="9"/>
      <c r="C339" s="89" t="s">
        <v>247</v>
      </c>
      <c r="D339" s="89" t="s">
        <v>1029</v>
      </c>
      <c r="E339" s="7" t="s">
        <v>234</v>
      </c>
      <c r="F339" s="8" t="str">
        <f>IF('Self-Assessment_Cases'!I339="Implemented","5",IF('Self-Assessment_Cases'!I339="In Progress - Administrative","3",IF('Self-Assessment_Cases'!I339="In Progress - Configuration","3",IF('Self-Assessment_Cases'!I339="In Progress - Installation/Upgrade","3",IF('Self-Assessment_Cases'!I339="Not Implemented - Compensating Control","5",IF('Self-Assessment_Cases'!I339="Not Implemented - Risk Negligible","5",IF('Self-Assessment_Cases'!I339="Not Implemented - Risk Accepted","1",IF('Self-Assessment_Cases'!I339="Not Implemented - Planned","1",IF('Self-Assessment_Cases'!I339="Not Implemented - Unplanned","1",".")))))))))</f>
        <v>.</v>
      </c>
      <c r="G339" s="9" t="s">
        <v>610</v>
      </c>
      <c r="H339" s="14"/>
      <c r="I339" s="92"/>
      <c r="J339" s="14"/>
      <c r="K339" s="9"/>
    </row>
    <row r="340" spans="1:11" s="6" customFormat="1" ht="42" x14ac:dyDescent="0.2">
      <c r="A340" s="4" t="s">
        <v>257</v>
      </c>
      <c r="B340" s="9"/>
      <c r="C340" s="89" t="s">
        <v>247</v>
      </c>
      <c r="D340" s="89" t="s">
        <v>1054</v>
      </c>
      <c r="E340" s="7" t="s">
        <v>234</v>
      </c>
      <c r="F340" s="8" t="str">
        <f>IF('Self-Assessment_Cases'!I340="Implemented","5",IF('Self-Assessment_Cases'!I340="In Progress - Administrative","3",IF('Self-Assessment_Cases'!I340="In Progress - Configuration","3",IF('Self-Assessment_Cases'!I340="In Progress - Installation/Upgrade","3",IF('Self-Assessment_Cases'!I340="Not Implemented - Compensating Control","5",IF('Self-Assessment_Cases'!I340="Not Implemented - Risk Negligible","5",IF('Self-Assessment_Cases'!I340="Not Implemented - Risk Accepted","1",IF('Self-Assessment_Cases'!I340="Not Implemented - Planned","1",IF('Self-Assessment_Cases'!I340="Not Implemented - Unplanned","1",".")))))))))</f>
        <v>.</v>
      </c>
      <c r="G340" s="9" t="s">
        <v>611</v>
      </c>
      <c r="H340" s="14"/>
      <c r="I340" s="92"/>
      <c r="J340" s="14"/>
      <c r="K340" s="9"/>
    </row>
    <row r="341" spans="1:11" s="6" customFormat="1" ht="56" x14ac:dyDescent="0.2">
      <c r="A341" s="7" t="s">
        <v>255</v>
      </c>
      <c r="B341" s="9"/>
      <c r="C341" s="89" t="s">
        <v>247</v>
      </c>
      <c r="D341" s="89" t="s">
        <v>1189</v>
      </c>
      <c r="E341" s="7" t="s">
        <v>239</v>
      </c>
      <c r="F341" s="8" t="str">
        <f>IF('Self-Assessment_Cases'!I341="Implemented","5",IF('Self-Assessment_Cases'!I341="In Progress - Administrative","3",IF('Self-Assessment_Cases'!I341="In Progress - Configuration","3",IF('Self-Assessment_Cases'!I341="In Progress - Installation/Upgrade","3",IF('Self-Assessment_Cases'!I341="Not Implemented - Compensating Control","5",IF('Self-Assessment_Cases'!I341="Not Implemented - Risk Negligible","5",IF('Self-Assessment_Cases'!I341="Not Implemented - Risk Accepted","1",IF('Self-Assessment_Cases'!I341="Not Implemented - Planned","1",IF('Self-Assessment_Cases'!I341="Not Implemented - Unplanned","1",".")))))))))</f>
        <v>.</v>
      </c>
      <c r="G341" s="9" t="s">
        <v>645</v>
      </c>
      <c r="H341" s="14"/>
      <c r="I341" s="92"/>
      <c r="J341" s="14"/>
      <c r="K341" s="9"/>
    </row>
    <row r="342" spans="1:11" s="6" customFormat="1" ht="56" x14ac:dyDescent="0.2">
      <c r="A342" s="7" t="s">
        <v>255</v>
      </c>
      <c r="B342" s="9"/>
      <c r="C342" s="89" t="s">
        <v>247</v>
      </c>
      <c r="D342" s="89" t="s">
        <v>821</v>
      </c>
      <c r="E342" s="7" t="s">
        <v>239</v>
      </c>
      <c r="F342" s="8" t="str">
        <f>IF('Self-Assessment_Cases'!I342="Implemented","5",IF('Self-Assessment_Cases'!I342="In Progress - Administrative","3",IF('Self-Assessment_Cases'!I342="In Progress - Configuration","3",IF('Self-Assessment_Cases'!I342="In Progress - Installation/Upgrade","3",IF('Self-Assessment_Cases'!I342="Not Implemented - Compensating Control","5",IF('Self-Assessment_Cases'!I342="Not Implemented - Risk Negligible","5",IF('Self-Assessment_Cases'!I342="Not Implemented - Risk Accepted","1",IF('Self-Assessment_Cases'!I342="Not Implemented - Planned","1",IF('Self-Assessment_Cases'!I342="Not Implemented - Unplanned","1",".")))))))))</f>
        <v>.</v>
      </c>
      <c r="G342" s="9" t="s">
        <v>644</v>
      </c>
      <c r="H342" s="14"/>
      <c r="I342" s="92"/>
      <c r="J342" s="14"/>
      <c r="K342" s="9"/>
    </row>
    <row r="343" spans="1:11" s="6" customFormat="1" ht="28" x14ac:dyDescent="0.2">
      <c r="A343" s="7" t="s">
        <v>253</v>
      </c>
      <c r="B343" s="9"/>
      <c r="C343" s="89" t="s">
        <v>247</v>
      </c>
      <c r="D343" s="89" t="s">
        <v>1190</v>
      </c>
      <c r="E343" s="7" t="s">
        <v>240</v>
      </c>
      <c r="F343" s="8" t="str">
        <f>IF('Self-Assessment_Cases'!I343="Implemented","5",IF('Self-Assessment_Cases'!I343="In Progress - Administrative","3",IF('Self-Assessment_Cases'!I343="In Progress - Configuration","3",IF('Self-Assessment_Cases'!I343="In Progress - Installation/Upgrade","3",IF('Self-Assessment_Cases'!I343="Not Implemented - Compensating Control","5",IF('Self-Assessment_Cases'!I343="Not Implemented - Risk Negligible","5",IF('Self-Assessment_Cases'!I343="Not Implemented - Risk Accepted","1",IF('Self-Assessment_Cases'!I343="Not Implemented - Planned","1",IF('Self-Assessment_Cases'!I343="Not Implemented - Unplanned","1",".")))))))))</f>
        <v>.</v>
      </c>
      <c r="G343" s="9" t="s">
        <v>377</v>
      </c>
      <c r="H343" s="14"/>
      <c r="I343" s="92"/>
      <c r="J343" s="14"/>
      <c r="K343" s="9"/>
    </row>
    <row r="344" spans="1:11" s="6" customFormat="1" ht="28" x14ac:dyDescent="0.2">
      <c r="A344" s="4" t="s">
        <v>262</v>
      </c>
      <c r="B344" s="9"/>
      <c r="C344" s="89" t="s">
        <v>247</v>
      </c>
      <c r="D344" s="89" t="s">
        <v>1191</v>
      </c>
      <c r="E344" s="7" t="s">
        <v>241</v>
      </c>
      <c r="F344" s="8" t="str">
        <f>IF('Self-Assessment_Cases'!I344="Implemented","5",IF('Self-Assessment_Cases'!I344="In Progress - Administrative","3",IF('Self-Assessment_Cases'!I344="In Progress - Configuration","3",IF('Self-Assessment_Cases'!I344="In Progress - Installation/Upgrade","3",IF('Self-Assessment_Cases'!I344="Not Implemented - Compensating Control","5",IF('Self-Assessment_Cases'!I344="Not Implemented - Risk Negligible","5",IF('Self-Assessment_Cases'!I344="Not Implemented - Risk Accepted","1",IF('Self-Assessment_Cases'!I344="Not Implemented - Planned","1",IF('Self-Assessment_Cases'!I344="Not Implemented - Unplanned","1",".")))))))))</f>
        <v>.</v>
      </c>
      <c r="G344" s="9" t="s">
        <v>374</v>
      </c>
      <c r="H344" s="14"/>
      <c r="I344" s="92"/>
      <c r="J344" s="14"/>
      <c r="K344" s="9"/>
    </row>
    <row r="345" spans="1:11" s="6" customFormat="1" ht="70" x14ac:dyDescent="0.2">
      <c r="A345" s="4" t="s">
        <v>259</v>
      </c>
      <c r="B345" s="9"/>
      <c r="C345" s="89" t="s">
        <v>247</v>
      </c>
      <c r="D345" s="89" t="s">
        <v>1192</v>
      </c>
      <c r="E345" s="7" t="s">
        <v>242</v>
      </c>
      <c r="F345" s="8" t="str">
        <f>IF('Self-Assessment_Cases'!I345="Implemented","5",IF('Self-Assessment_Cases'!I345="In Progress - Administrative","3",IF('Self-Assessment_Cases'!I345="In Progress - Configuration","3",IF('Self-Assessment_Cases'!I345="In Progress - Installation/Upgrade","3",IF('Self-Assessment_Cases'!I345="Not Implemented - Compensating Control","5",IF('Self-Assessment_Cases'!I345="Not Implemented - Risk Negligible","5",IF('Self-Assessment_Cases'!I345="Not Implemented - Risk Accepted","1",IF('Self-Assessment_Cases'!I345="Not Implemented - Planned","1",IF('Self-Assessment_Cases'!I345="Not Implemented - Unplanned","1",".")))))))))</f>
        <v>.</v>
      </c>
      <c r="G345" s="9" t="s">
        <v>612</v>
      </c>
      <c r="H345" s="14"/>
      <c r="I345" s="92"/>
      <c r="J345" s="14"/>
      <c r="K345" s="9"/>
    </row>
    <row r="346" spans="1:11" s="6" customFormat="1" ht="70" x14ac:dyDescent="0.2">
      <c r="A346" s="4" t="s">
        <v>259</v>
      </c>
      <c r="B346" s="9"/>
      <c r="C346" s="89" t="s">
        <v>247</v>
      </c>
      <c r="D346" s="89" t="s">
        <v>822</v>
      </c>
      <c r="E346" s="7" t="s">
        <v>242</v>
      </c>
      <c r="F346" s="8" t="str">
        <f>IF('Self-Assessment_Cases'!I346="Implemented","5",IF('Self-Assessment_Cases'!I346="In Progress - Administrative","3",IF('Self-Assessment_Cases'!I346="In Progress - Configuration","3",IF('Self-Assessment_Cases'!I346="In Progress - Installation/Upgrade","3",IF('Self-Assessment_Cases'!I346="Not Implemented - Compensating Control","5",IF('Self-Assessment_Cases'!I346="Not Implemented - Risk Negligible","5",IF('Self-Assessment_Cases'!I346="Not Implemented - Risk Accepted","1",IF('Self-Assessment_Cases'!I346="Not Implemented - Planned","1",IF('Self-Assessment_Cases'!I346="Not Implemented - Unplanned","1",".")))))))))</f>
        <v>.</v>
      </c>
      <c r="G346" s="9" t="s">
        <v>613</v>
      </c>
      <c r="H346" s="14"/>
      <c r="I346" s="92"/>
      <c r="J346" s="14"/>
      <c r="K346" s="9"/>
    </row>
    <row r="347" spans="1:11" s="6" customFormat="1" ht="56" x14ac:dyDescent="0.2">
      <c r="A347" s="4" t="s">
        <v>259</v>
      </c>
      <c r="B347" s="9"/>
      <c r="C347" s="89" t="s">
        <v>247</v>
      </c>
      <c r="D347" s="89" t="s">
        <v>895</v>
      </c>
      <c r="E347" s="7" t="s">
        <v>242</v>
      </c>
      <c r="F347" s="8" t="str">
        <f>IF('Self-Assessment_Cases'!I347="Implemented","5",IF('Self-Assessment_Cases'!I347="In Progress - Administrative","3",IF('Self-Assessment_Cases'!I347="In Progress - Configuration","3",IF('Self-Assessment_Cases'!I347="In Progress - Installation/Upgrade","3",IF('Self-Assessment_Cases'!I347="Not Implemented - Compensating Control","5",IF('Self-Assessment_Cases'!I347="Not Implemented - Risk Negligible","5",IF('Self-Assessment_Cases'!I347="Not Implemented - Risk Accepted","1",IF('Self-Assessment_Cases'!I347="Not Implemented - Planned","1",IF('Self-Assessment_Cases'!I347="Not Implemented - Unplanned","1",".")))))))))</f>
        <v>.</v>
      </c>
      <c r="G347" s="13" t="s">
        <v>614</v>
      </c>
      <c r="H347" s="14"/>
      <c r="I347" s="92"/>
      <c r="J347" s="14"/>
      <c r="K347" s="9"/>
    </row>
    <row r="348" spans="1:11" s="6" customFormat="1" ht="56" x14ac:dyDescent="0.2">
      <c r="A348" s="4" t="s">
        <v>263</v>
      </c>
      <c r="B348" s="9"/>
      <c r="C348" s="89" t="s">
        <v>247</v>
      </c>
      <c r="D348" s="89" t="s">
        <v>1193</v>
      </c>
      <c r="E348" s="7" t="s">
        <v>243</v>
      </c>
      <c r="F348" s="8" t="str">
        <f>IF('Self-Assessment_Cases'!I348="Implemented","5",IF('Self-Assessment_Cases'!I348="In Progress - Administrative","3",IF('Self-Assessment_Cases'!I348="In Progress - Configuration","3",IF('Self-Assessment_Cases'!I348="In Progress - Installation/Upgrade","3",IF('Self-Assessment_Cases'!I348="Not Implemented - Compensating Control","5",IF('Self-Assessment_Cases'!I348="Not Implemented - Risk Negligible","5",IF('Self-Assessment_Cases'!I348="Not Implemented - Risk Accepted","1",IF('Self-Assessment_Cases'!I348="Not Implemented - Planned","1",IF('Self-Assessment_Cases'!I348="Not Implemented - Unplanned","1",".")))))))))</f>
        <v>.</v>
      </c>
      <c r="G348" s="13" t="s">
        <v>629</v>
      </c>
      <c r="H348" s="14"/>
      <c r="I348" s="92"/>
      <c r="J348" s="14"/>
      <c r="K348" s="9"/>
    </row>
    <row r="349" spans="1:11" s="6" customFormat="1" ht="56" x14ac:dyDescent="0.2">
      <c r="A349" s="4" t="s">
        <v>263</v>
      </c>
      <c r="B349" s="9"/>
      <c r="C349" s="89" t="s">
        <v>247</v>
      </c>
      <c r="D349" s="89" t="s">
        <v>823</v>
      </c>
      <c r="E349" s="7" t="s">
        <v>243</v>
      </c>
      <c r="F349" s="8" t="str">
        <f>IF('Self-Assessment_Cases'!I349="Implemented","5",IF('Self-Assessment_Cases'!I349="In Progress - Administrative","3",IF('Self-Assessment_Cases'!I349="In Progress - Configuration","3",IF('Self-Assessment_Cases'!I349="In Progress - Installation/Upgrade","3",IF('Self-Assessment_Cases'!I349="Not Implemented - Compensating Control","5",IF('Self-Assessment_Cases'!I349="Not Implemented - Risk Negligible","5",IF('Self-Assessment_Cases'!I349="Not Implemented - Risk Accepted","1",IF('Self-Assessment_Cases'!I349="Not Implemented - Planned","1",IF('Self-Assessment_Cases'!I349="Not Implemented - Unplanned","1",".")))))))))</f>
        <v>.</v>
      </c>
      <c r="G349" s="13" t="s">
        <v>630</v>
      </c>
      <c r="H349" s="14"/>
      <c r="I349" s="92"/>
      <c r="J349" s="14"/>
      <c r="K349" s="9"/>
    </row>
    <row r="350" spans="1:11" s="6" customFormat="1" ht="56" x14ac:dyDescent="0.2">
      <c r="A350" s="4" t="s">
        <v>263</v>
      </c>
      <c r="B350" s="9"/>
      <c r="C350" s="89" t="s">
        <v>247</v>
      </c>
      <c r="D350" s="89" t="s">
        <v>896</v>
      </c>
      <c r="E350" s="7" t="s">
        <v>243</v>
      </c>
      <c r="F350" s="8" t="str">
        <f>IF('Self-Assessment_Cases'!I350="Implemented","5",IF('Self-Assessment_Cases'!I350="In Progress - Administrative","3",IF('Self-Assessment_Cases'!I350="In Progress - Configuration","3",IF('Self-Assessment_Cases'!I350="In Progress - Installation/Upgrade","3",IF('Self-Assessment_Cases'!I350="Not Implemented - Compensating Control","5",IF('Self-Assessment_Cases'!I350="Not Implemented - Risk Negligible","5",IF('Self-Assessment_Cases'!I350="Not Implemented - Risk Accepted","1",IF('Self-Assessment_Cases'!I350="Not Implemented - Planned","1",IF('Self-Assessment_Cases'!I350="Not Implemented - Unplanned","1",".")))))))))</f>
        <v>.</v>
      </c>
      <c r="G350" s="13" t="s">
        <v>631</v>
      </c>
      <c r="H350" s="14"/>
      <c r="I350" s="92"/>
      <c r="J350" s="14"/>
      <c r="K350" s="9"/>
    </row>
    <row r="351" spans="1:11" s="6" customFormat="1" ht="28" x14ac:dyDescent="0.2">
      <c r="A351" s="4" t="s">
        <v>260</v>
      </c>
      <c r="B351" s="9"/>
      <c r="C351" s="89" t="s">
        <v>247</v>
      </c>
      <c r="D351" s="89" t="s">
        <v>1194</v>
      </c>
      <c r="E351" s="7" t="s">
        <v>244</v>
      </c>
      <c r="F351" s="8" t="str">
        <f>IF('Self-Assessment_Cases'!I351="Implemented","5",IF('Self-Assessment_Cases'!I351="In Progress - Administrative","3",IF('Self-Assessment_Cases'!I351="In Progress - Configuration","3",IF('Self-Assessment_Cases'!I351="In Progress - Installation/Upgrade","3",IF('Self-Assessment_Cases'!I351="Not Implemented - Compensating Control","5",IF('Self-Assessment_Cases'!I351="Not Implemented - Risk Negligible","5",IF('Self-Assessment_Cases'!I351="Not Implemented - Risk Accepted","1",IF('Self-Assessment_Cases'!I351="Not Implemented - Planned","1",IF('Self-Assessment_Cases'!I351="Not Implemented - Unplanned","1",".")))))))))</f>
        <v>.</v>
      </c>
      <c r="G351" s="13" t="s">
        <v>373</v>
      </c>
      <c r="H351" s="14"/>
      <c r="I351" s="92"/>
      <c r="J351" s="14"/>
      <c r="K351" s="9"/>
    </row>
    <row r="352" spans="1:11" s="6" customFormat="1" ht="70" x14ac:dyDescent="0.2">
      <c r="A352" s="4" t="s">
        <v>251</v>
      </c>
      <c r="B352" s="9"/>
      <c r="C352" s="89" t="s">
        <v>247</v>
      </c>
      <c r="D352" s="89" t="s">
        <v>1195</v>
      </c>
      <c r="E352" s="7" t="s">
        <v>235</v>
      </c>
      <c r="F352" s="8" t="str">
        <f>IF('Self-Assessment_Cases'!I352="Implemented","5",IF('Self-Assessment_Cases'!I352="In Progress - Administrative","3",IF('Self-Assessment_Cases'!I352="In Progress - Configuration","3",IF('Self-Assessment_Cases'!I352="In Progress - Installation/Upgrade","3",IF('Self-Assessment_Cases'!I352="Not Implemented - Compensating Control","5",IF('Self-Assessment_Cases'!I352="Not Implemented - Risk Negligible","5",IF('Self-Assessment_Cases'!I352="Not Implemented - Risk Accepted","1",IF('Self-Assessment_Cases'!I352="Not Implemented - Planned","1",IF('Self-Assessment_Cases'!I352="Not Implemented - Unplanned","1",".")))))))))</f>
        <v>.</v>
      </c>
      <c r="G352" s="13" t="s">
        <v>636</v>
      </c>
      <c r="H352" s="14"/>
      <c r="I352" s="92"/>
      <c r="J352" s="14"/>
      <c r="K352" s="9"/>
    </row>
    <row r="353" spans="1:11" s="6" customFormat="1" ht="98" x14ac:dyDescent="0.2">
      <c r="A353" s="4" t="s">
        <v>251</v>
      </c>
      <c r="B353" s="9"/>
      <c r="C353" s="89" t="s">
        <v>247</v>
      </c>
      <c r="D353" s="89" t="s">
        <v>824</v>
      </c>
      <c r="E353" s="7" t="s">
        <v>235</v>
      </c>
      <c r="F353" s="8" t="str">
        <f>IF('Self-Assessment_Cases'!I353="Implemented","5",IF('Self-Assessment_Cases'!I353="In Progress - Administrative","3",IF('Self-Assessment_Cases'!I353="In Progress - Configuration","3",IF('Self-Assessment_Cases'!I353="In Progress - Installation/Upgrade","3",IF('Self-Assessment_Cases'!I353="Not Implemented - Compensating Control","5",IF('Self-Assessment_Cases'!I353="Not Implemented - Risk Negligible","5",IF('Self-Assessment_Cases'!I353="Not Implemented - Risk Accepted","1",IF('Self-Assessment_Cases'!I353="Not Implemented - Planned","1",IF('Self-Assessment_Cases'!I353="Not Implemented - Unplanned","1",".")))))))))</f>
        <v>.</v>
      </c>
      <c r="G353" s="13" t="s">
        <v>637</v>
      </c>
      <c r="H353" s="14"/>
      <c r="I353" s="92"/>
      <c r="J353" s="14"/>
      <c r="K353" s="9"/>
    </row>
    <row r="354" spans="1:11" s="6" customFormat="1" ht="70" x14ac:dyDescent="0.2">
      <c r="A354" s="4" t="s">
        <v>251</v>
      </c>
      <c r="B354" s="9"/>
      <c r="C354" s="89" t="s">
        <v>247</v>
      </c>
      <c r="D354" s="89" t="s">
        <v>897</v>
      </c>
      <c r="E354" s="7" t="s">
        <v>235</v>
      </c>
      <c r="F354" s="8" t="str">
        <f>IF('Self-Assessment_Cases'!I354="Implemented","5",IF('Self-Assessment_Cases'!I354="In Progress - Administrative","3",IF('Self-Assessment_Cases'!I354="In Progress - Configuration","3",IF('Self-Assessment_Cases'!I354="In Progress - Installation/Upgrade","3",IF('Self-Assessment_Cases'!I354="Not Implemented - Compensating Control","5",IF('Self-Assessment_Cases'!I354="Not Implemented - Risk Negligible","5",IF('Self-Assessment_Cases'!I354="Not Implemented - Risk Accepted","1",IF('Self-Assessment_Cases'!I354="Not Implemented - Planned","1",IF('Self-Assessment_Cases'!I354="Not Implemented - Unplanned","1",".")))))))))</f>
        <v>.</v>
      </c>
      <c r="G354" s="13" t="s">
        <v>638</v>
      </c>
      <c r="H354" s="14"/>
      <c r="I354" s="92"/>
      <c r="J354" s="14"/>
      <c r="K354" s="9"/>
    </row>
    <row r="355" spans="1:11" s="6" customFormat="1" ht="56" x14ac:dyDescent="0.2">
      <c r="A355" s="4" t="s">
        <v>251</v>
      </c>
      <c r="B355" s="9"/>
      <c r="C355" s="89" t="s">
        <v>247</v>
      </c>
      <c r="D355" s="89" t="s">
        <v>958</v>
      </c>
      <c r="E355" s="7" t="s">
        <v>235</v>
      </c>
      <c r="F355" s="8" t="str">
        <f>IF('Self-Assessment_Cases'!I355="Implemented","5",IF('Self-Assessment_Cases'!I355="In Progress - Administrative","3",IF('Self-Assessment_Cases'!I355="In Progress - Configuration","3",IF('Self-Assessment_Cases'!I355="In Progress - Installation/Upgrade","3",IF('Self-Assessment_Cases'!I355="Not Implemented - Compensating Control","5",IF('Self-Assessment_Cases'!I355="Not Implemented - Risk Negligible","5",IF('Self-Assessment_Cases'!I355="Not Implemented - Risk Accepted","1",IF('Self-Assessment_Cases'!I355="Not Implemented - Planned","1",IF('Self-Assessment_Cases'!I355="Not Implemented - Unplanned","1",".")))))))))</f>
        <v>.</v>
      </c>
      <c r="G355" s="13" t="s">
        <v>639</v>
      </c>
      <c r="H355" s="14"/>
      <c r="I355" s="92"/>
      <c r="J355" s="14"/>
      <c r="K355" s="9"/>
    </row>
    <row r="356" spans="1:11" s="3" customFormat="1" ht="28" x14ac:dyDescent="0.2">
      <c r="A356" s="4" t="s">
        <v>258</v>
      </c>
      <c r="B356" s="9"/>
      <c r="C356" s="89" t="s">
        <v>247</v>
      </c>
      <c r="D356" s="89" t="s">
        <v>1196</v>
      </c>
      <c r="E356" s="7" t="s">
        <v>236</v>
      </c>
      <c r="F356" s="8" t="str">
        <f>IF('Self-Assessment_Cases'!I356="Implemented","5",IF('Self-Assessment_Cases'!I356="In Progress - Administrative","3",IF('Self-Assessment_Cases'!I356="In Progress - Configuration","3",IF('Self-Assessment_Cases'!I356="In Progress - Installation/Upgrade","3",IF('Self-Assessment_Cases'!I356="Not Implemented - Compensating Control","5",IF('Self-Assessment_Cases'!I356="Not Implemented - Risk Negligible","5",IF('Self-Assessment_Cases'!I356="Not Implemented - Risk Accepted","1",IF('Self-Assessment_Cases'!I356="Not Implemented - Planned","1",IF('Self-Assessment_Cases'!I356="Not Implemented - Unplanned","1",".")))))))))</f>
        <v>.</v>
      </c>
      <c r="G356" s="9" t="s">
        <v>372</v>
      </c>
      <c r="H356" s="14"/>
      <c r="I356" s="92"/>
      <c r="J356" s="14"/>
      <c r="K356" s="9"/>
    </row>
    <row r="357" spans="1:11" s="3" customFormat="1" ht="42" x14ac:dyDescent="0.2">
      <c r="A357" s="7" t="s">
        <v>252</v>
      </c>
      <c r="B357" s="9"/>
      <c r="C357" s="89" t="s">
        <v>247</v>
      </c>
      <c r="D357" s="89" t="s">
        <v>1197</v>
      </c>
      <c r="E357" s="7" t="s">
        <v>237</v>
      </c>
      <c r="F357" s="8" t="str">
        <f>IF('Self-Assessment_Cases'!I357="Implemented","5",IF('Self-Assessment_Cases'!I357="In Progress - Administrative","3",IF('Self-Assessment_Cases'!I357="In Progress - Configuration","3",IF('Self-Assessment_Cases'!I357="In Progress - Installation/Upgrade","3",IF('Self-Assessment_Cases'!I357="Not Implemented - Compensating Control","5",IF('Self-Assessment_Cases'!I357="Not Implemented - Risk Negligible","5",IF('Self-Assessment_Cases'!I357="Not Implemented - Risk Accepted","1",IF('Self-Assessment_Cases'!I357="Not Implemented - Planned","1",IF('Self-Assessment_Cases'!I357="Not Implemented - Unplanned","1",".")))))))))</f>
        <v>.</v>
      </c>
      <c r="G357" s="9" t="s">
        <v>376</v>
      </c>
      <c r="H357" s="14"/>
      <c r="I357" s="92"/>
      <c r="J357" s="14"/>
      <c r="K357" s="9"/>
    </row>
    <row r="358" spans="1:11" s="3" customFormat="1" ht="56" x14ac:dyDescent="0.2">
      <c r="A358" s="9" t="s">
        <v>250</v>
      </c>
      <c r="B358" s="9"/>
      <c r="C358" s="90" t="s">
        <v>247</v>
      </c>
      <c r="D358" s="90" t="s">
        <v>1198</v>
      </c>
      <c r="E358" s="111" t="s">
        <v>238</v>
      </c>
      <c r="F358" s="8" t="str">
        <f>IF('Self-Assessment_Cases'!I358="Implemented","5",IF('Self-Assessment_Cases'!I358="In Progress - Administrative","3",IF('Self-Assessment_Cases'!I358="In Progress - Configuration","3",IF('Self-Assessment_Cases'!I358="In Progress - Installation/Upgrade","3",IF('Self-Assessment_Cases'!I358="Not Implemented - Compensating Control","5",IF('Self-Assessment_Cases'!I358="Not Implemented - Risk Negligible","5",IF('Self-Assessment_Cases'!I358="Not Implemented - Risk Accepted","1",IF('Self-Assessment_Cases'!I358="Not Implemented - Planned","1",IF('Self-Assessment_Cases'!I358="Not Implemented - Unplanned","1",".")))))))))</f>
        <v>.</v>
      </c>
      <c r="G358" s="9" t="s">
        <v>633</v>
      </c>
      <c r="H358" s="14"/>
      <c r="I358" s="92"/>
      <c r="J358" s="14"/>
      <c r="K358" s="9"/>
    </row>
    <row r="359" spans="1:11" s="3" customFormat="1" ht="42" x14ac:dyDescent="0.2">
      <c r="A359" s="9" t="s">
        <v>250</v>
      </c>
      <c r="B359" s="9"/>
      <c r="C359" s="90" t="s">
        <v>247</v>
      </c>
      <c r="D359" s="90" t="s">
        <v>825</v>
      </c>
      <c r="E359" s="111" t="s">
        <v>238</v>
      </c>
      <c r="F359" s="8" t="str">
        <f>IF('Self-Assessment_Cases'!I359="Implemented","5",IF('Self-Assessment_Cases'!I359="In Progress - Administrative","3",IF('Self-Assessment_Cases'!I359="In Progress - Configuration","3",IF('Self-Assessment_Cases'!I359="In Progress - Installation/Upgrade","3",IF('Self-Assessment_Cases'!I359="Not Implemented - Compensating Control","5",IF('Self-Assessment_Cases'!I359="Not Implemented - Risk Negligible","5",IF('Self-Assessment_Cases'!I359="Not Implemented - Risk Accepted","1",IF('Self-Assessment_Cases'!I359="Not Implemented - Planned","1",IF('Self-Assessment_Cases'!I359="Not Implemented - Unplanned","1",".")))))))))</f>
        <v>.</v>
      </c>
      <c r="G359" s="9" t="s">
        <v>634</v>
      </c>
      <c r="H359" s="14"/>
      <c r="I359" s="92"/>
      <c r="J359" s="14"/>
      <c r="K359" s="9"/>
    </row>
    <row r="360" spans="1:11" s="3" customFormat="1" ht="56" x14ac:dyDescent="0.2">
      <c r="A360" s="9" t="s">
        <v>250</v>
      </c>
      <c r="B360" s="9"/>
      <c r="C360" s="90" t="s">
        <v>247</v>
      </c>
      <c r="D360" s="90" t="s">
        <v>898</v>
      </c>
      <c r="E360" s="111" t="s">
        <v>238</v>
      </c>
      <c r="F360" s="8" t="str">
        <f>IF('Self-Assessment_Cases'!I360="Implemented","5",IF('Self-Assessment_Cases'!I360="In Progress - Administrative","3",IF('Self-Assessment_Cases'!I360="In Progress - Configuration","3",IF('Self-Assessment_Cases'!I360="In Progress - Installation/Upgrade","3",IF('Self-Assessment_Cases'!I360="Not Implemented - Compensating Control","5",IF('Self-Assessment_Cases'!I360="Not Implemented - Risk Negligible","5",IF('Self-Assessment_Cases'!I360="Not Implemented - Risk Accepted","1",IF('Self-Assessment_Cases'!I360="Not Implemented - Planned","1",IF('Self-Assessment_Cases'!I360="Not Implemented - Unplanned","1",".")))))))))</f>
        <v>.</v>
      </c>
      <c r="G360" s="9" t="s">
        <v>635</v>
      </c>
      <c r="H360" s="14"/>
      <c r="I360" s="92"/>
      <c r="J360" s="14"/>
      <c r="K360" s="9"/>
    </row>
    <row r="361" spans="1:11" s="83" customFormat="1" ht="28" x14ac:dyDescent="0.2">
      <c r="A361" s="72" t="s">
        <v>156</v>
      </c>
      <c r="B361" s="9"/>
      <c r="C361" s="89" t="s">
        <v>245</v>
      </c>
      <c r="D361" s="89" t="s">
        <v>1199</v>
      </c>
      <c r="E361" s="4" t="s">
        <v>155</v>
      </c>
      <c r="F361" s="8" t="str">
        <f>IF('Self-Assessment_Cases'!I361="Implemented","5",IF('Self-Assessment_Cases'!I361="In Progress - Administrative","3",IF('Self-Assessment_Cases'!I361="In Progress - Configuration","3",IF('Self-Assessment_Cases'!I361="In Progress - Installation/Upgrade","3",IF('Self-Assessment_Cases'!I361="Not Implemented - Compensating Control","5",IF('Self-Assessment_Cases'!I361="Not Implemented - Risk Negligible","5",IF('Self-Assessment_Cases'!I361="Not Implemented - Risk Accepted","1",IF('Self-Assessment_Cases'!I361="Not Implemented - Planned","1",IF('Self-Assessment_Cases'!I361="Not Implemented - Unplanned","1",".")))))))))</f>
        <v>.</v>
      </c>
      <c r="G361" s="75" t="s">
        <v>1386</v>
      </c>
      <c r="H361" s="14"/>
      <c r="I361" s="92"/>
      <c r="J361" s="11"/>
      <c r="K361" s="75"/>
    </row>
    <row r="362" spans="1:11" s="83" customFormat="1" ht="28" x14ac:dyDescent="0.2">
      <c r="A362" s="72" t="s">
        <v>156</v>
      </c>
      <c r="B362" s="9"/>
      <c r="C362" s="89" t="s">
        <v>245</v>
      </c>
      <c r="D362" s="89" t="s">
        <v>826</v>
      </c>
      <c r="E362" s="4" t="s">
        <v>155</v>
      </c>
      <c r="F362" s="8" t="str">
        <f>IF('Self-Assessment_Cases'!I362="Implemented","5",IF('Self-Assessment_Cases'!I362="In Progress - Administrative","3",IF('Self-Assessment_Cases'!I362="In Progress - Configuration","3",IF('Self-Assessment_Cases'!I362="In Progress - Installation/Upgrade","3",IF('Self-Assessment_Cases'!I362="Not Implemented - Compensating Control","5",IF('Self-Assessment_Cases'!I362="Not Implemented - Risk Negligible","5",IF('Self-Assessment_Cases'!I362="Not Implemented - Risk Accepted","1",IF('Self-Assessment_Cases'!I362="Not Implemented - Planned","1",IF('Self-Assessment_Cases'!I362="Not Implemented - Unplanned","1",".")))))))))</f>
        <v>.</v>
      </c>
      <c r="G362" s="75" t="s">
        <v>1387</v>
      </c>
      <c r="H362" s="14"/>
      <c r="I362" s="92"/>
      <c r="J362" s="11"/>
      <c r="K362" s="75"/>
    </row>
    <row r="363" spans="1:11" s="83" customFormat="1" ht="28" x14ac:dyDescent="0.2">
      <c r="A363" s="72" t="s">
        <v>156</v>
      </c>
      <c r="B363" s="9"/>
      <c r="C363" s="89" t="s">
        <v>245</v>
      </c>
      <c r="D363" s="89" t="s">
        <v>899</v>
      </c>
      <c r="E363" s="4" t="s">
        <v>155</v>
      </c>
      <c r="F363" s="8" t="str">
        <f>IF('Self-Assessment_Cases'!I363="Implemented","5",IF('Self-Assessment_Cases'!I363="In Progress - Administrative","3",IF('Self-Assessment_Cases'!I363="In Progress - Configuration","3",IF('Self-Assessment_Cases'!I363="In Progress - Installation/Upgrade","3",IF('Self-Assessment_Cases'!I363="Not Implemented - Compensating Control","5",IF('Self-Assessment_Cases'!I363="Not Implemented - Risk Negligible","5",IF('Self-Assessment_Cases'!I363="Not Implemented - Risk Accepted","1",IF('Self-Assessment_Cases'!I363="Not Implemented - Planned","1",IF('Self-Assessment_Cases'!I363="Not Implemented - Unplanned","1",".")))))))))</f>
        <v>.</v>
      </c>
      <c r="G363" s="75" t="s">
        <v>1388</v>
      </c>
      <c r="H363" s="14"/>
      <c r="I363" s="92"/>
      <c r="J363" s="11"/>
      <c r="K363" s="75"/>
    </row>
    <row r="364" spans="1:11" s="79" customFormat="1" ht="28" x14ac:dyDescent="0.2">
      <c r="A364" s="72" t="s">
        <v>156</v>
      </c>
      <c r="B364" s="9"/>
      <c r="C364" s="89" t="s">
        <v>245</v>
      </c>
      <c r="D364" s="89" t="s">
        <v>959</v>
      </c>
      <c r="E364" s="4" t="s">
        <v>155</v>
      </c>
      <c r="F364" s="8" t="str">
        <f>IF('Self-Assessment_Cases'!I364="Implemented","5",IF('Self-Assessment_Cases'!I364="In Progress - Administrative","3",IF('Self-Assessment_Cases'!I364="In Progress - Configuration","3",IF('Self-Assessment_Cases'!I364="In Progress - Installation/Upgrade","3",IF('Self-Assessment_Cases'!I364="Not Implemented - Compensating Control","5",IF('Self-Assessment_Cases'!I364="Not Implemented - Risk Negligible","5",IF('Self-Assessment_Cases'!I364="Not Implemented - Risk Accepted","1",IF('Self-Assessment_Cases'!I364="Not Implemented - Planned","1",IF('Self-Assessment_Cases'!I364="Not Implemented - Unplanned","1",".")))))))))</f>
        <v>.</v>
      </c>
      <c r="G364" s="75" t="s">
        <v>1389</v>
      </c>
      <c r="H364" s="14"/>
      <c r="I364" s="92"/>
      <c r="J364" s="11"/>
      <c r="K364" s="75"/>
    </row>
    <row r="365" spans="1:11" s="83" customFormat="1" ht="28" x14ac:dyDescent="0.2">
      <c r="A365" s="72" t="s">
        <v>156</v>
      </c>
      <c r="B365" s="9"/>
      <c r="C365" s="89" t="s">
        <v>245</v>
      </c>
      <c r="D365" s="89" t="s">
        <v>1001</v>
      </c>
      <c r="E365" s="4" t="s">
        <v>155</v>
      </c>
      <c r="F365" s="8" t="str">
        <f>IF('Self-Assessment_Cases'!I365="Implemented","5",IF('Self-Assessment_Cases'!I365="In Progress - Administrative","3",IF('Self-Assessment_Cases'!I365="In Progress - Configuration","3",IF('Self-Assessment_Cases'!I365="In Progress - Installation/Upgrade","3",IF('Self-Assessment_Cases'!I365="Not Implemented - Compensating Control","5",IF('Self-Assessment_Cases'!I365="Not Implemented - Risk Negligible","5",IF('Self-Assessment_Cases'!I365="Not Implemented - Risk Accepted","1",IF('Self-Assessment_Cases'!I365="Not Implemented - Planned","1",IF('Self-Assessment_Cases'!I365="Not Implemented - Unplanned","1",".")))))))))</f>
        <v>.</v>
      </c>
      <c r="G365" s="75" t="s">
        <v>1390</v>
      </c>
      <c r="H365" s="14"/>
      <c r="I365" s="92"/>
      <c r="J365" s="11"/>
      <c r="K365" s="75"/>
    </row>
    <row r="366" spans="1:11" s="79" customFormat="1" ht="28" x14ac:dyDescent="0.2">
      <c r="A366" s="72" t="s">
        <v>156</v>
      </c>
      <c r="B366" s="9"/>
      <c r="C366" s="89" t="s">
        <v>245</v>
      </c>
      <c r="D366" s="89" t="s">
        <v>1030</v>
      </c>
      <c r="E366" s="4" t="s">
        <v>155</v>
      </c>
      <c r="F366" s="8" t="str">
        <f>IF('Self-Assessment_Cases'!I366="Implemented","5",IF('Self-Assessment_Cases'!I366="In Progress - Administrative","3",IF('Self-Assessment_Cases'!I366="In Progress - Configuration","3",IF('Self-Assessment_Cases'!I366="In Progress - Installation/Upgrade","3",IF('Self-Assessment_Cases'!I366="Not Implemented - Compensating Control","5",IF('Self-Assessment_Cases'!I366="Not Implemented - Risk Negligible","5",IF('Self-Assessment_Cases'!I366="Not Implemented - Risk Accepted","1",IF('Self-Assessment_Cases'!I366="Not Implemented - Planned","1",IF('Self-Assessment_Cases'!I366="Not Implemented - Unplanned","1",".")))))))))</f>
        <v>.</v>
      </c>
      <c r="G366" s="75" t="s">
        <v>1391</v>
      </c>
      <c r="H366" s="14"/>
      <c r="I366" s="92"/>
      <c r="J366" s="11"/>
      <c r="K366" s="75"/>
    </row>
    <row r="367" spans="1:11" s="79" customFormat="1" ht="42" x14ac:dyDescent="0.2">
      <c r="A367" s="72" t="s">
        <v>156</v>
      </c>
      <c r="B367" s="9"/>
      <c r="C367" s="89" t="s">
        <v>245</v>
      </c>
      <c r="D367" s="89" t="s">
        <v>1055</v>
      </c>
      <c r="E367" s="4" t="s">
        <v>155</v>
      </c>
      <c r="F367" s="8" t="str">
        <f>IF('Self-Assessment_Cases'!I367="Implemented","5",IF('Self-Assessment_Cases'!I367="In Progress - Administrative","3",IF('Self-Assessment_Cases'!I367="In Progress - Configuration","3",IF('Self-Assessment_Cases'!I367="In Progress - Installation/Upgrade","3",IF('Self-Assessment_Cases'!I367="Not Implemented - Compensating Control","5",IF('Self-Assessment_Cases'!I367="Not Implemented - Risk Negligible","5",IF('Self-Assessment_Cases'!I367="Not Implemented - Risk Accepted","1",IF('Self-Assessment_Cases'!I367="Not Implemented - Planned","1",IF('Self-Assessment_Cases'!I367="Not Implemented - Unplanned","1",".")))))))))</f>
        <v>.</v>
      </c>
      <c r="G367" s="75" t="s">
        <v>1375</v>
      </c>
      <c r="H367" s="14"/>
      <c r="I367" s="92"/>
      <c r="J367" s="11"/>
      <c r="K367" s="75"/>
    </row>
    <row r="368" spans="1:11" s="79" customFormat="1" ht="42" x14ac:dyDescent="0.2">
      <c r="A368" s="72" t="s">
        <v>156</v>
      </c>
      <c r="B368" s="9"/>
      <c r="C368" s="89" t="s">
        <v>245</v>
      </c>
      <c r="D368" s="89" t="s">
        <v>1075</v>
      </c>
      <c r="E368" s="4" t="s">
        <v>155</v>
      </c>
      <c r="F368" s="8" t="str">
        <f>IF('Self-Assessment_Cases'!I368="Implemented","5",IF('Self-Assessment_Cases'!I368="In Progress - Administrative","3",IF('Self-Assessment_Cases'!I368="In Progress - Configuration","3",IF('Self-Assessment_Cases'!I368="In Progress - Installation/Upgrade","3",IF('Self-Assessment_Cases'!I368="Not Implemented - Compensating Control","5",IF('Self-Assessment_Cases'!I368="Not Implemented - Risk Negligible","5",IF('Self-Assessment_Cases'!I368="Not Implemented - Risk Accepted","1",IF('Self-Assessment_Cases'!I368="Not Implemented - Planned","1",IF('Self-Assessment_Cases'!I368="Not Implemented - Unplanned","1",".")))))))))</f>
        <v>.</v>
      </c>
      <c r="G368" s="75" t="s">
        <v>1376</v>
      </c>
      <c r="H368" s="14"/>
      <c r="I368" s="92"/>
      <c r="J368" s="11"/>
      <c r="K368" s="75"/>
    </row>
    <row r="369" spans="1:11" s="79" customFormat="1" ht="42" x14ac:dyDescent="0.2">
      <c r="A369" s="72" t="s">
        <v>156</v>
      </c>
      <c r="B369" s="9"/>
      <c r="C369" s="89" t="s">
        <v>245</v>
      </c>
      <c r="D369" s="89" t="s">
        <v>1094</v>
      </c>
      <c r="E369" s="4" t="s">
        <v>155</v>
      </c>
      <c r="F369" s="8" t="str">
        <f>IF('Self-Assessment_Cases'!I369="Implemented","5",IF('Self-Assessment_Cases'!I369="In Progress - Administrative","3",IF('Self-Assessment_Cases'!I369="In Progress - Configuration","3",IF('Self-Assessment_Cases'!I369="In Progress - Installation/Upgrade","3",IF('Self-Assessment_Cases'!I369="Not Implemented - Compensating Control","5",IF('Self-Assessment_Cases'!I369="Not Implemented - Risk Negligible","5",IF('Self-Assessment_Cases'!I369="Not Implemented - Risk Accepted","1",IF('Self-Assessment_Cases'!I369="Not Implemented - Planned","1",IF('Self-Assessment_Cases'!I369="Not Implemented - Unplanned","1",".")))))))))</f>
        <v>.</v>
      </c>
      <c r="G369" s="75" t="s">
        <v>389</v>
      </c>
      <c r="H369" s="14"/>
      <c r="I369" s="92"/>
      <c r="J369" s="11"/>
      <c r="K369" s="75"/>
    </row>
    <row r="370" spans="1:11" s="79" customFormat="1" ht="42" x14ac:dyDescent="0.2">
      <c r="A370" s="72" t="s">
        <v>156</v>
      </c>
      <c r="B370" s="9"/>
      <c r="C370" s="89" t="s">
        <v>245</v>
      </c>
      <c r="D370" s="89" t="s">
        <v>651</v>
      </c>
      <c r="E370" s="4" t="s">
        <v>155</v>
      </c>
      <c r="F370" s="8" t="str">
        <f>IF('Self-Assessment_Cases'!I370="Implemented","5",IF('Self-Assessment_Cases'!I370="In Progress - Administrative","3",IF('Self-Assessment_Cases'!I370="In Progress - Configuration","3",IF('Self-Assessment_Cases'!I370="In Progress - Installation/Upgrade","3",IF('Self-Assessment_Cases'!I370="Not Implemented - Compensating Control","5",IF('Self-Assessment_Cases'!I370="Not Implemented - Risk Negligible","5",IF('Self-Assessment_Cases'!I370="Not Implemented - Risk Accepted","1",IF('Self-Assessment_Cases'!I370="Not Implemented - Planned","1",IF('Self-Assessment_Cases'!I370="Not Implemented - Unplanned","1",".")))))))))</f>
        <v>.</v>
      </c>
      <c r="G370" s="75" t="s">
        <v>390</v>
      </c>
      <c r="H370" s="14"/>
      <c r="I370" s="92"/>
      <c r="J370" s="11"/>
      <c r="K370" s="75"/>
    </row>
    <row r="371" spans="1:11" s="83" customFormat="1" ht="28" x14ac:dyDescent="0.2">
      <c r="A371" s="72" t="s">
        <v>158</v>
      </c>
      <c r="B371" s="9"/>
      <c r="C371" s="89" t="s">
        <v>245</v>
      </c>
      <c r="D371" s="89" t="s">
        <v>1200</v>
      </c>
      <c r="E371" s="4" t="s">
        <v>157</v>
      </c>
      <c r="F371" s="8" t="str">
        <f>IF('Self-Assessment_Cases'!I371="Implemented","5",IF('Self-Assessment_Cases'!I371="In Progress - Administrative","3",IF('Self-Assessment_Cases'!I371="In Progress - Configuration","3",IF('Self-Assessment_Cases'!I371="In Progress - Installation/Upgrade","3",IF('Self-Assessment_Cases'!I371="Not Implemented - Compensating Control","5",IF('Self-Assessment_Cases'!I371="Not Implemented - Risk Negligible","5",IF('Self-Assessment_Cases'!I371="Not Implemented - Risk Accepted","1",IF('Self-Assessment_Cases'!I371="Not Implemented - Planned","1",IF('Self-Assessment_Cases'!I371="Not Implemented - Unplanned","1",".")))))))))</f>
        <v>.</v>
      </c>
      <c r="G371" s="80" t="s">
        <v>461</v>
      </c>
      <c r="H371" s="14"/>
      <c r="I371" s="92"/>
      <c r="J371" s="11"/>
      <c r="K371" s="75"/>
    </row>
    <row r="372" spans="1:11" s="83" customFormat="1" ht="28" x14ac:dyDescent="0.2">
      <c r="A372" s="72" t="s">
        <v>158</v>
      </c>
      <c r="B372" s="9"/>
      <c r="C372" s="89" t="s">
        <v>245</v>
      </c>
      <c r="D372" s="89" t="s">
        <v>827</v>
      </c>
      <c r="E372" s="4" t="s">
        <v>157</v>
      </c>
      <c r="F372" s="8" t="str">
        <f>IF('Self-Assessment_Cases'!I372="Implemented","5",IF('Self-Assessment_Cases'!I372="In Progress - Administrative","3",IF('Self-Assessment_Cases'!I372="In Progress - Configuration","3",IF('Self-Assessment_Cases'!I372="In Progress - Installation/Upgrade","3",IF('Self-Assessment_Cases'!I372="Not Implemented - Compensating Control","5",IF('Self-Assessment_Cases'!I372="Not Implemented - Risk Negligible","5",IF('Self-Assessment_Cases'!I372="Not Implemented - Risk Accepted","1",IF('Self-Assessment_Cases'!I372="Not Implemented - Planned","1",IF('Self-Assessment_Cases'!I372="Not Implemented - Unplanned","1",".")))))))))</f>
        <v>.</v>
      </c>
      <c r="G372" s="80" t="s">
        <v>460</v>
      </c>
      <c r="H372" s="14"/>
      <c r="I372" s="92"/>
      <c r="J372" s="11"/>
      <c r="K372" s="75"/>
    </row>
    <row r="373" spans="1:11" s="79" customFormat="1" ht="42" x14ac:dyDescent="0.2">
      <c r="A373" s="72" t="s">
        <v>158</v>
      </c>
      <c r="B373" s="9"/>
      <c r="C373" s="89" t="s">
        <v>245</v>
      </c>
      <c r="D373" s="89" t="s">
        <v>900</v>
      </c>
      <c r="E373" s="4" t="s">
        <v>157</v>
      </c>
      <c r="F373" s="8" t="str">
        <f>IF('Self-Assessment_Cases'!I373="Implemented","5",IF('Self-Assessment_Cases'!I373="In Progress - Administrative","3",IF('Self-Assessment_Cases'!I373="In Progress - Configuration","3",IF('Self-Assessment_Cases'!I373="In Progress - Installation/Upgrade","3",IF('Self-Assessment_Cases'!I373="Not Implemented - Compensating Control","5",IF('Self-Assessment_Cases'!I373="Not Implemented - Risk Negligible","5",IF('Self-Assessment_Cases'!I373="Not Implemented - Risk Accepted","1",IF('Self-Assessment_Cases'!I373="Not Implemented - Planned","1",IF('Self-Assessment_Cases'!I373="Not Implemented - Unplanned","1",".")))))))))</f>
        <v>.</v>
      </c>
      <c r="G373" s="80" t="s">
        <v>459</v>
      </c>
      <c r="H373" s="14"/>
      <c r="I373" s="92"/>
      <c r="J373" s="11"/>
      <c r="K373" s="75"/>
    </row>
    <row r="374" spans="1:11" s="3" customFormat="1" ht="42" x14ac:dyDescent="0.2">
      <c r="A374" s="4" t="s">
        <v>160</v>
      </c>
      <c r="B374" s="9"/>
      <c r="C374" s="89" t="s">
        <v>246</v>
      </c>
      <c r="D374" s="89" t="s">
        <v>1201</v>
      </c>
      <c r="E374" s="4" t="s">
        <v>159</v>
      </c>
      <c r="F374" s="8" t="str">
        <f>IF('Self-Assessment_Cases'!I374="Implemented","5",IF('Self-Assessment_Cases'!I374="In Progress - Administrative","3",IF('Self-Assessment_Cases'!I374="In Progress - Configuration","3",IF('Self-Assessment_Cases'!I374="In Progress - Installation/Upgrade","3",IF('Self-Assessment_Cases'!I374="Not Implemented - Compensating Control","5",IF('Self-Assessment_Cases'!I374="Not Implemented - Risk Negligible","5",IF('Self-Assessment_Cases'!I374="Not Implemented - Risk Accepted","1",IF('Self-Assessment_Cases'!I374="Not Implemented - Planned","1",IF('Self-Assessment_Cases'!I374="Not Implemented - Unplanned","1",".")))))))))</f>
        <v>.</v>
      </c>
      <c r="G374" s="13" t="s">
        <v>490</v>
      </c>
      <c r="H374" s="14"/>
      <c r="I374" s="92"/>
      <c r="J374" s="93"/>
      <c r="K374" s="85"/>
    </row>
    <row r="375" spans="1:11" s="3" customFormat="1" ht="56" x14ac:dyDescent="0.2">
      <c r="A375" s="4" t="s">
        <v>160</v>
      </c>
      <c r="B375" s="9"/>
      <c r="C375" s="89" t="s">
        <v>246</v>
      </c>
      <c r="D375" s="89" t="s">
        <v>828</v>
      </c>
      <c r="E375" s="4" t="s">
        <v>159</v>
      </c>
      <c r="F375" s="8" t="str">
        <f>IF('Self-Assessment_Cases'!I375="Implemented","5",IF('Self-Assessment_Cases'!I375="In Progress - Administrative","3",IF('Self-Assessment_Cases'!I375="In Progress - Configuration","3",IF('Self-Assessment_Cases'!I375="In Progress - Installation/Upgrade","3",IF('Self-Assessment_Cases'!I375="Not Implemented - Compensating Control","5",IF('Self-Assessment_Cases'!I375="Not Implemented - Risk Negligible","5",IF('Self-Assessment_Cases'!I375="Not Implemented - Risk Accepted","1",IF('Self-Assessment_Cases'!I375="Not Implemented - Planned","1",IF('Self-Assessment_Cases'!I375="Not Implemented - Unplanned","1",".")))))))))</f>
        <v>.</v>
      </c>
      <c r="G375" s="13" t="s">
        <v>489</v>
      </c>
      <c r="H375" s="14"/>
      <c r="I375" s="92"/>
      <c r="J375" s="93"/>
      <c r="K375" s="85"/>
    </row>
    <row r="376" spans="1:11" s="3" customFormat="1" ht="294" x14ac:dyDescent="0.2">
      <c r="A376" s="4" t="s">
        <v>1572</v>
      </c>
      <c r="B376" s="9"/>
      <c r="C376" s="89" t="s">
        <v>245</v>
      </c>
      <c r="D376" s="89" t="s">
        <v>1573</v>
      </c>
      <c r="E376" s="4" t="s">
        <v>1571</v>
      </c>
      <c r="F376" s="8" t="str">
        <f>IF('Self-Assessment_Cases'!I376="Implemented","5",IF('Self-Assessment_Cases'!I376="In Progress - Administrative","3",IF('Self-Assessment_Cases'!I376="In Progress - Configuration","3",IF('Self-Assessment_Cases'!I376="In Progress - Installation/Upgrade","3",IF('Self-Assessment_Cases'!I376="Not Implemented - Compensating Control","5",IF('Self-Assessment_Cases'!I376="Not Implemented - Risk Negligible","5",IF('Self-Assessment_Cases'!I376="Not Implemented - Risk Accepted","1",IF('Self-Assessment_Cases'!I376="Not Implemented - Planned","1",IF('Self-Assessment_Cases'!I376="Not Implemented - Unplanned","1",".")))))))))</f>
        <v>.</v>
      </c>
      <c r="G376" s="122" t="s">
        <v>1574</v>
      </c>
      <c r="H376" s="14" t="s">
        <v>1575</v>
      </c>
      <c r="I376" s="92"/>
      <c r="J376" s="121"/>
      <c r="K376" s="121"/>
    </row>
    <row r="377" spans="1:11" s="3" customFormat="1" ht="70" x14ac:dyDescent="0.2">
      <c r="A377" s="4" t="s">
        <v>1572</v>
      </c>
      <c r="B377" s="9"/>
      <c r="C377" s="89" t="s">
        <v>245</v>
      </c>
      <c r="D377" s="89" t="s">
        <v>1576</v>
      </c>
      <c r="E377" s="4" t="s">
        <v>1571</v>
      </c>
      <c r="F377" s="8" t="str">
        <f>IF('Self-Assessment_Cases'!I377="Implemented","5",IF('Self-Assessment_Cases'!I377="In Progress - Administrative","3",IF('Self-Assessment_Cases'!I377="In Progress - Configuration","3",IF('Self-Assessment_Cases'!I377="In Progress - Installation/Upgrade","3",IF('Self-Assessment_Cases'!I377="Not Implemented - Compensating Control","5",IF('Self-Assessment_Cases'!I377="Not Implemented - Risk Negligible","5",IF('Self-Assessment_Cases'!I377="Not Implemented - Risk Accepted","1",IF('Self-Assessment_Cases'!I377="Not Implemented - Planned","1",IF('Self-Assessment_Cases'!I377="Not Implemented - Unplanned","1",".")))))))))</f>
        <v>.</v>
      </c>
      <c r="G377" s="122" t="s">
        <v>1577</v>
      </c>
      <c r="H377" s="14"/>
      <c r="I377" s="92"/>
      <c r="J377" s="121"/>
      <c r="K377" s="121"/>
    </row>
    <row r="378" spans="1:11" s="3" customFormat="1" ht="84" x14ac:dyDescent="0.2">
      <c r="A378" s="4" t="s">
        <v>1572</v>
      </c>
      <c r="B378" s="9"/>
      <c r="C378" s="89" t="s">
        <v>245</v>
      </c>
      <c r="D378" s="89" t="s">
        <v>1578</v>
      </c>
      <c r="E378" s="4" t="s">
        <v>1571</v>
      </c>
      <c r="F378" s="8" t="str">
        <f>IF('Self-Assessment_Cases'!I378="Implemented","5",IF('Self-Assessment_Cases'!I378="In Progress - Administrative","3",IF('Self-Assessment_Cases'!I378="In Progress - Configuration","3",IF('Self-Assessment_Cases'!I378="In Progress - Installation/Upgrade","3",IF('Self-Assessment_Cases'!I378="Not Implemented - Compensating Control","5",IF('Self-Assessment_Cases'!I378="Not Implemented - Risk Negligible","5",IF('Self-Assessment_Cases'!I378="Not Implemented - Risk Accepted","1",IF('Self-Assessment_Cases'!I378="Not Implemented - Planned","1",IF('Self-Assessment_Cases'!I378="Not Implemented - Unplanned","1",".")))))))))</f>
        <v>.</v>
      </c>
      <c r="G378" s="122" t="s">
        <v>1579</v>
      </c>
      <c r="H378" s="14"/>
      <c r="I378" s="92"/>
      <c r="J378" s="121"/>
      <c r="K378" s="121"/>
    </row>
    <row r="379" spans="1:11" s="3" customFormat="1" ht="56" x14ac:dyDescent="0.2">
      <c r="A379" s="4" t="s">
        <v>1572</v>
      </c>
      <c r="B379" s="9"/>
      <c r="C379" s="89" t="s">
        <v>245</v>
      </c>
      <c r="D379" s="89" t="s">
        <v>1580</v>
      </c>
      <c r="E379" s="4" t="s">
        <v>1571</v>
      </c>
      <c r="F379" s="8" t="str">
        <f>IF('Self-Assessment_Cases'!I379="Implemented","5",IF('Self-Assessment_Cases'!I379="In Progress - Administrative","3",IF('Self-Assessment_Cases'!I379="In Progress - Configuration","3",IF('Self-Assessment_Cases'!I379="In Progress - Installation/Upgrade","3",IF('Self-Assessment_Cases'!I379="Not Implemented - Compensating Control","5",IF('Self-Assessment_Cases'!I379="Not Implemented - Risk Negligible","5",IF('Self-Assessment_Cases'!I379="Not Implemented - Risk Accepted","1",IF('Self-Assessment_Cases'!I379="Not Implemented - Planned","1",IF('Self-Assessment_Cases'!I379="Not Implemented - Unplanned","1",".")))))))))</f>
        <v>.</v>
      </c>
      <c r="G379" s="122" t="s">
        <v>1581</v>
      </c>
      <c r="H379" s="14"/>
      <c r="I379" s="92"/>
      <c r="J379" s="121"/>
      <c r="K379" s="121"/>
    </row>
    <row r="380" spans="1:11" s="3" customFormat="1" ht="70" x14ac:dyDescent="0.2">
      <c r="A380" s="4" t="s">
        <v>1572</v>
      </c>
      <c r="B380" s="9"/>
      <c r="C380" s="89" t="s">
        <v>245</v>
      </c>
      <c r="D380" s="89" t="s">
        <v>1582</v>
      </c>
      <c r="E380" s="4" t="s">
        <v>1571</v>
      </c>
      <c r="F380" s="8" t="str">
        <f>IF('Self-Assessment_Cases'!I380="Implemented","5",IF('Self-Assessment_Cases'!I380="In Progress - Administrative","3",IF('Self-Assessment_Cases'!I380="In Progress - Configuration","3",IF('Self-Assessment_Cases'!I380="In Progress - Installation/Upgrade","3",IF('Self-Assessment_Cases'!I380="Not Implemented - Compensating Control","5",IF('Self-Assessment_Cases'!I380="Not Implemented - Risk Negligible","5",IF('Self-Assessment_Cases'!I380="Not Implemented - Risk Accepted","1",IF('Self-Assessment_Cases'!I380="Not Implemented - Planned","1",IF('Self-Assessment_Cases'!I380="Not Implemented - Unplanned","1",".")))))))))</f>
        <v>.</v>
      </c>
      <c r="G380" s="122" t="s">
        <v>1583</v>
      </c>
      <c r="H380" s="14"/>
      <c r="I380" s="92"/>
      <c r="J380" s="121"/>
      <c r="K380" s="121"/>
    </row>
    <row r="381" spans="1:11" s="3" customFormat="1" ht="56" x14ac:dyDescent="0.2">
      <c r="A381" s="4" t="s">
        <v>1572</v>
      </c>
      <c r="B381" s="9"/>
      <c r="C381" s="89" t="s">
        <v>245</v>
      </c>
      <c r="D381" s="89" t="s">
        <v>1584</v>
      </c>
      <c r="E381" s="4" t="s">
        <v>1571</v>
      </c>
      <c r="F381" s="8" t="str">
        <f>IF('Self-Assessment_Cases'!I381="Implemented","5",IF('Self-Assessment_Cases'!I381="In Progress - Administrative","3",IF('Self-Assessment_Cases'!I381="In Progress - Configuration","3",IF('Self-Assessment_Cases'!I381="In Progress - Installation/Upgrade","3",IF('Self-Assessment_Cases'!I381="Not Implemented - Compensating Control","5",IF('Self-Assessment_Cases'!I381="Not Implemented - Risk Negligible","5",IF('Self-Assessment_Cases'!I381="Not Implemented - Risk Accepted","1",IF('Self-Assessment_Cases'!I381="Not Implemented - Planned","1",IF('Self-Assessment_Cases'!I381="Not Implemented - Unplanned","1",".")))))))))</f>
        <v>.</v>
      </c>
      <c r="G381" s="122" t="s">
        <v>1585</v>
      </c>
      <c r="H381" s="14"/>
      <c r="I381" s="92"/>
      <c r="J381" s="121"/>
      <c r="K381" s="121"/>
    </row>
    <row r="382" spans="1:11" s="79" customFormat="1" ht="70" x14ac:dyDescent="0.2">
      <c r="A382" s="72" t="s">
        <v>162</v>
      </c>
      <c r="B382" s="9"/>
      <c r="C382" s="89" t="s">
        <v>245</v>
      </c>
      <c r="D382" s="89" t="s">
        <v>1202</v>
      </c>
      <c r="E382" s="4" t="s">
        <v>161</v>
      </c>
      <c r="F382" s="8" t="str">
        <f>IF('Self-Assessment_Cases'!I382="Implemented","5",IF('Self-Assessment_Cases'!I382="In Progress - Administrative","3",IF('Self-Assessment_Cases'!I382="In Progress - Configuration","3",IF('Self-Assessment_Cases'!I382="In Progress - Installation/Upgrade","3",IF('Self-Assessment_Cases'!I382="Not Implemented - Compensating Control","5",IF('Self-Assessment_Cases'!I382="Not Implemented - Risk Negligible","5",IF('Self-Assessment_Cases'!I382="Not Implemented - Risk Accepted","1",IF('Self-Assessment_Cases'!I382="Not Implemented - Planned","1",IF('Self-Assessment_Cases'!I382="Not Implemented - Unplanned","1",".")))))))))</f>
        <v>.</v>
      </c>
      <c r="G382" s="80" t="s">
        <v>462</v>
      </c>
      <c r="H382" s="14"/>
      <c r="I382" s="92"/>
      <c r="J382" s="11"/>
      <c r="K382" s="75"/>
    </row>
    <row r="383" spans="1:11" s="79" customFormat="1" ht="56" x14ac:dyDescent="0.2">
      <c r="A383" s="72" t="s">
        <v>162</v>
      </c>
      <c r="B383" s="9"/>
      <c r="C383" s="89" t="s">
        <v>245</v>
      </c>
      <c r="D383" s="89" t="s">
        <v>829</v>
      </c>
      <c r="E383" s="4" t="s">
        <v>161</v>
      </c>
      <c r="F383" s="8" t="str">
        <f>IF('Self-Assessment_Cases'!I383="Implemented","5",IF('Self-Assessment_Cases'!I383="In Progress - Administrative","3",IF('Self-Assessment_Cases'!I383="In Progress - Configuration","3",IF('Self-Assessment_Cases'!I383="In Progress - Installation/Upgrade","3",IF('Self-Assessment_Cases'!I383="Not Implemented - Compensating Control","5",IF('Self-Assessment_Cases'!I383="Not Implemented - Risk Negligible","5",IF('Self-Assessment_Cases'!I383="Not Implemented - Risk Accepted","1",IF('Self-Assessment_Cases'!I383="Not Implemented - Planned","1",IF('Self-Assessment_Cases'!I383="Not Implemented - Unplanned","1",".")))))))))</f>
        <v>.</v>
      </c>
      <c r="G383" s="75" t="s">
        <v>463</v>
      </c>
      <c r="H383" s="14"/>
      <c r="I383" s="92"/>
      <c r="J383" s="11"/>
      <c r="K383" s="75"/>
    </row>
    <row r="384" spans="1:11" s="79" customFormat="1" ht="42" x14ac:dyDescent="0.2">
      <c r="A384" s="72" t="s">
        <v>162</v>
      </c>
      <c r="B384" s="9"/>
      <c r="C384" s="89" t="s">
        <v>245</v>
      </c>
      <c r="D384" s="89" t="s">
        <v>901</v>
      </c>
      <c r="E384" s="4" t="s">
        <v>161</v>
      </c>
      <c r="F384" s="8" t="str">
        <f>IF('Self-Assessment_Cases'!I384="Implemented","5",IF('Self-Assessment_Cases'!I384="In Progress - Administrative","3",IF('Self-Assessment_Cases'!I384="In Progress - Configuration","3",IF('Self-Assessment_Cases'!I384="In Progress - Installation/Upgrade","3",IF('Self-Assessment_Cases'!I384="Not Implemented - Compensating Control","5",IF('Self-Assessment_Cases'!I384="Not Implemented - Risk Negligible","5",IF('Self-Assessment_Cases'!I384="Not Implemented - Risk Accepted","1",IF('Self-Assessment_Cases'!I384="Not Implemented - Planned","1",IF('Self-Assessment_Cases'!I384="Not Implemented - Unplanned","1",".")))))))))</f>
        <v>.</v>
      </c>
      <c r="G384" s="75" t="s">
        <v>464</v>
      </c>
      <c r="H384" s="14"/>
      <c r="I384" s="92"/>
      <c r="J384" s="11"/>
      <c r="K384" s="75"/>
    </row>
    <row r="385" spans="1:11" s="79" customFormat="1" ht="42" x14ac:dyDescent="0.2">
      <c r="A385" s="72" t="s">
        <v>162</v>
      </c>
      <c r="B385" s="9"/>
      <c r="C385" s="89" t="s">
        <v>245</v>
      </c>
      <c r="D385" s="89" t="s">
        <v>960</v>
      </c>
      <c r="E385" s="4" t="s">
        <v>161</v>
      </c>
      <c r="F385" s="8" t="str">
        <f>IF('Self-Assessment_Cases'!I385="Implemented","5",IF('Self-Assessment_Cases'!I385="In Progress - Administrative","3",IF('Self-Assessment_Cases'!I385="In Progress - Configuration","3",IF('Self-Assessment_Cases'!I385="In Progress - Installation/Upgrade","3",IF('Self-Assessment_Cases'!I385="Not Implemented - Compensating Control","5",IF('Self-Assessment_Cases'!I385="Not Implemented - Risk Negligible","5",IF('Self-Assessment_Cases'!I385="Not Implemented - Risk Accepted","1",IF('Self-Assessment_Cases'!I385="Not Implemented - Planned","1",IF('Self-Assessment_Cases'!I385="Not Implemented - Unplanned","1",".")))))))))</f>
        <v>.</v>
      </c>
      <c r="G385" s="75" t="s">
        <v>465</v>
      </c>
      <c r="H385" s="14"/>
      <c r="I385" s="92"/>
      <c r="J385" s="11"/>
      <c r="K385" s="75"/>
    </row>
    <row r="386" spans="1:11" s="3" customFormat="1" ht="42" x14ac:dyDescent="0.2">
      <c r="A386" s="4" t="s">
        <v>164</v>
      </c>
      <c r="B386" s="9"/>
      <c r="C386" s="89" t="s">
        <v>247</v>
      </c>
      <c r="D386" s="89" t="s">
        <v>1203</v>
      </c>
      <c r="E386" s="4" t="s">
        <v>163</v>
      </c>
      <c r="F386" s="8" t="str">
        <f>IF('Self-Assessment_Cases'!I386="Implemented","5",IF('Self-Assessment_Cases'!I386="In Progress - Administrative","3",IF('Self-Assessment_Cases'!I386="In Progress - Configuration","3",IF('Self-Assessment_Cases'!I386="In Progress - Installation/Upgrade","3",IF('Self-Assessment_Cases'!I386="Not Implemented - Compensating Control","5",IF('Self-Assessment_Cases'!I386="Not Implemented - Risk Negligible","5",IF('Self-Assessment_Cases'!I386="Not Implemented - Risk Accepted","1",IF('Self-Assessment_Cases'!I386="Not Implemented - Planned","1",IF('Self-Assessment_Cases'!I386="Not Implemented - Unplanned","1",".")))))))))</f>
        <v>.</v>
      </c>
      <c r="G386" s="9" t="s">
        <v>595</v>
      </c>
      <c r="H386" s="14"/>
      <c r="I386" s="92"/>
      <c r="J386" s="14"/>
      <c r="K386" s="9"/>
    </row>
    <row r="387" spans="1:11" s="6" customFormat="1" ht="42" x14ac:dyDescent="0.2">
      <c r="A387" s="4" t="s">
        <v>164</v>
      </c>
      <c r="B387" s="9"/>
      <c r="C387" s="89" t="s">
        <v>247</v>
      </c>
      <c r="D387" s="89" t="s">
        <v>830</v>
      </c>
      <c r="E387" s="4" t="s">
        <v>163</v>
      </c>
      <c r="F387" s="8" t="str">
        <f>IF('Self-Assessment_Cases'!I387="Implemented","5",IF('Self-Assessment_Cases'!I387="In Progress - Administrative","3",IF('Self-Assessment_Cases'!I387="In Progress - Configuration","3",IF('Self-Assessment_Cases'!I387="In Progress - Installation/Upgrade","3",IF('Self-Assessment_Cases'!I387="Not Implemented - Compensating Control","5",IF('Self-Assessment_Cases'!I387="Not Implemented - Risk Negligible","5",IF('Self-Assessment_Cases'!I387="Not Implemented - Risk Accepted","1",IF('Self-Assessment_Cases'!I387="Not Implemented - Planned","1",IF('Self-Assessment_Cases'!I387="Not Implemented - Unplanned","1",".")))))))))</f>
        <v>.</v>
      </c>
      <c r="G387" s="9" t="s">
        <v>596</v>
      </c>
      <c r="H387" s="14"/>
      <c r="I387" s="92"/>
      <c r="J387" s="14"/>
      <c r="K387" s="9"/>
    </row>
    <row r="388" spans="1:11" s="6" customFormat="1" ht="56" x14ac:dyDescent="0.2">
      <c r="A388" s="4" t="s">
        <v>164</v>
      </c>
      <c r="B388" s="9"/>
      <c r="C388" s="89" t="s">
        <v>247</v>
      </c>
      <c r="D388" s="89" t="s">
        <v>902</v>
      </c>
      <c r="E388" s="4" t="s">
        <v>163</v>
      </c>
      <c r="F388" s="8" t="str">
        <f>IF('Self-Assessment_Cases'!I388="Implemented","5",IF('Self-Assessment_Cases'!I388="In Progress - Administrative","3",IF('Self-Assessment_Cases'!I388="In Progress - Configuration","3",IF('Self-Assessment_Cases'!I388="In Progress - Installation/Upgrade","3",IF('Self-Assessment_Cases'!I388="Not Implemented - Compensating Control","5",IF('Self-Assessment_Cases'!I388="Not Implemented - Risk Negligible","5",IF('Self-Assessment_Cases'!I388="Not Implemented - Risk Accepted","1",IF('Self-Assessment_Cases'!I388="Not Implemented - Planned","1",IF('Self-Assessment_Cases'!I388="Not Implemented - Unplanned","1",".")))))))))</f>
        <v>.</v>
      </c>
      <c r="G388" s="9" t="s">
        <v>597</v>
      </c>
      <c r="H388" s="14"/>
      <c r="I388" s="92"/>
      <c r="J388" s="14"/>
      <c r="K388" s="9"/>
    </row>
    <row r="389" spans="1:11" s="6" customFormat="1" ht="84" x14ac:dyDescent="0.2">
      <c r="A389" s="4" t="s">
        <v>164</v>
      </c>
      <c r="B389" s="9"/>
      <c r="C389" s="89" t="s">
        <v>247</v>
      </c>
      <c r="D389" s="89" t="s">
        <v>961</v>
      </c>
      <c r="E389" s="4" t="s">
        <v>163</v>
      </c>
      <c r="F389" s="8" t="str">
        <f>IF('Self-Assessment_Cases'!I389="Implemented","5",IF('Self-Assessment_Cases'!I389="In Progress - Administrative","3",IF('Self-Assessment_Cases'!I389="In Progress - Configuration","3",IF('Self-Assessment_Cases'!I389="In Progress - Installation/Upgrade","3",IF('Self-Assessment_Cases'!I389="Not Implemented - Compensating Control","5",IF('Self-Assessment_Cases'!I389="Not Implemented - Risk Negligible","5",IF('Self-Assessment_Cases'!I389="Not Implemented - Risk Accepted","1",IF('Self-Assessment_Cases'!I389="Not Implemented - Planned","1",IF('Self-Assessment_Cases'!I389="Not Implemented - Unplanned","1",".")))))))))</f>
        <v>.</v>
      </c>
      <c r="G389" s="9" t="s">
        <v>598</v>
      </c>
      <c r="H389" s="14"/>
      <c r="I389" s="92"/>
      <c r="J389" s="14"/>
      <c r="K389" s="9"/>
    </row>
    <row r="390" spans="1:11" s="6" customFormat="1" ht="42" x14ac:dyDescent="0.2">
      <c r="A390" s="4" t="s">
        <v>166</v>
      </c>
      <c r="B390" s="9"/>
      <c r="C390" s="89" t="s">
        <v>246</v>
      </c>
      <c r="D390" s="89" t="s">
        <v>1204</v>
      </c>
      <c r="E390" s="4" t="s">
        <v>165</v>
      </c>
      <c r="F390" s="8" t="str">
        <f>IF('Self-Assessment_Cases'!I390="Implemented","5",IF('Self-Assessment_Cases'!I390="In Progress - Administrative","3",IF('Self-Assessment_Cases'!I390="In Progress - Configuration","3",IF('Self-Assessment_Cases'!I390="In Progress - Installation/Upgrade","3",IF('Self-Assessment_Cases'!I390="Not Implemented - Compensating Control","5",IF('Self-Assessment_Cases'!I390="Not Implemented - Risk Negligible","5",IF('Self-Assessment_Cases'!I390="Not Implemented - Risk Accepted","1",IF('Self-Assessment_Cases'!I390="Not Implemented - Planned","1",IF('Self-Assessment_Cases'!I390="Not Implemented - Unplanned","1",".")))))))))</f>
        <v>.</v>
      </c>
      <c r="G390" s="9" t="s">
        <v>544</v>
      </c>
      <c r="H390" s="14"/>
      <c r="I390" s="92"/>
      <c r="J390" s="93"/>
      <c r="K390" s="85"/>
    </row>
    <row r="391" spans="1:11" s="6" customFormat="1" ht="42" x14ac:dyDescent="0.2">
      <c r="A391" s="4" t="s">
        <v>166</v>
      </c>
      <c r="B391" s="9"/>
      <c r="C391" s="89" t="s">
        <v>246</v>
      </c>
      <c r="D391" s="89" t="s">
        <v>831</v>
      </c>
      <c r="E391" s="4" t="s">
        <v>165</v>
      </c>
      <c r="F391" s="8" t="str">
        <f>IF('Self-Assessment_Cases'!I391="Implemented","5",IF('Self-Assessment_Cases'!I391="In Progress - Administrative","3",IF('Self-Assessment_Cases'!I391="In Progress - Configuration","3",IF('Self-Assessment_Cases'!I391="In Progress - Installation/Upgrade","3",IF('Self-Assessment_Cases'!I391="Not Implemented - Compensating Control","5",IF('Self-Assessment_Cases'!I391="Not Implemented - Risk Negligible","5",IF('Self-Assessment_Cases'!I391="Not Implemented - Risk Accepted","1",IF('Self-Assessment_Cases'!I391="Not Implemented - Planned","1",IF('Self-Assessment_Cases'!I391="Not Implemented - Unplanned","1",".")))))))))</f>
        <v>.</v>
      </c>
      <c r="G391" s="9" t="s">
        <v>545</v>
      </c>
      <c r="H391" s="14"/>
      <c r="I391" s="92"/>
      <c r="J391" s="93"/>
      <c r="K391" s="85"/>
    </row>
    <row r="392" spans="1:11" s="6" customFormat="1" ht="28" x14ac:dyDescent="0.2">
      <c r="A392" s="4" t="s">
        <v>166</v>
      </c>
      <c r="B392" s="9"/>
      <c r="C392" s="89" t="s">
        <v>246</v>
      </c>
      <c r="D392" s="89" t="s">
        <v>903</v>
      </c>
      <c r="E392" s="4" t="s">
        <v>165</v>
      </c>
      <c r="F392" s="8" t="str">
        <f>IF('Self-Assessment_Cases'!I392="Implemented","5",IF('Self-Assessment_Cases'!I392="In Progress - Administrative","3",IF('Self-Assessment_Cases'!I392="In Progress - Configuration","3",IF('Self-Assessment_Cases'!I392="In Progress - Installation/Upgrade","3",IF('Self-Assessment_Cases'!I392="Not Implemented - Compensating Control","5",IF('Self-Assessment_Cases'!I392="Not Implemented - Risk Negligible","5",IF('Self-Assessment_Cases'!I392="Not Implemented - Risk Accepted","1",IF('Self-Assessment_Cases'!I392="Not Implemented - Planned","1",IF('Self-Assessment_Cases'!I392="Not Implemented - Unplanned","1",".")))))))))</f>
        <v>.</v>
      </c>
      <c r="G392" s="9" t="s">
        <v>543</v>
      </c>
      <c r="H392" s="14"/>
      <c r="I392" s="92"/>
      <c r="J392" s="93"/>
      <c r="K392" s="85"/>
    </row>
    <row r="393" spans="1:11" s="6" customFormat="1" ht="84" x14ac:dyDescent="0.2">
      <c r="A393" s="4" t="s">
        <v>166</v>
      </c>
      <c r="B393" s="9"/>
      <c r="C393" s="89" t="s">
        <v>246</v>
      </c>
      <c r="D393" s="89" t="s">
        <v>962</v>
      </c>
      <c r="E393" s="4" t="s">
        <v>165</v>
      </c>
      <c r="F393" s="8" t="str">
        <f>IF('Self-Assessment_Cases'!I393="Implemented","5",IF('Self-Assessment_Cases'!I393="In Progress - Administrative","3",IF('Self-Assessment_Cases'!I393="In Progress - Configuration","3",IF('Self-Assessment_Cases'!I393="In Progress - Installation/Upgrade","3",IF('Self-Assessment_Cases'!I393="Not Implemented - Compensating Control","5",IF('Self-Assessment_Cases'!I393="Not Implemented - Risk Negligible","5",IF('Self-Assessment_Cases'!I393="Not Implemented - Risk Accepted","1",IF('Self-Assessment_Cases'!I393="Not Implemented - Planned","1",IF('Self-Assessment_Cases'!I393="Not Implemented - Unplanned","1",".")))))))))</f>
        <v>.</v>
      </c>
      <c r="G393" s="9" t="s">
        <v>542</v>
      </c>
      <c r="H393" s="14"/>
      <c r="I393" s="92"/>
      <c r="J393" s="93"/>
      <c r="K393" s="85"/>
    </row>
    <row r="394" spans="1:11" s="6" customFormat="1" ht="28" x14ac:dyDescent="0.2">
      <c r="A394" s="4" t="s">
        <v>166</v>
      </c>
      <c r="B394" s="9"/>
      <c r="C394" s="89" t="s">
        <v>246</v>
      </c>
      <c r="D394" s="89" t="s">
        <v>1002</v>
      </c>
      <c r="E394" s="4" t="s">
        <v>165</v>
      </c>
      <c r="F394" s="8" t="str">
        <f>IF('Self-Assessment_Cases'!I394="Implemented","5",IF('Self-Assessment_Cases'!I394="In Progress - Administrative","3",IF('Self-Assessment_Cases'!I394="In Progress - Configuration","3",IF('Self-Assessment_Cases'!I394="In Progress - Installation/Upgrade","3",IF('Self-Assessment_Cases'!I394="Not Implemented - Compensating Control","5",IF('Self-Assessment_Cases'!I394="Not Implemented - Risk Negligible","5",IF('Self-Assessment_Cases'!I394="Not Implemented - Risk Accepted","1",IF('Self-Assessment_Cases'!I394="Not Implemented - Planned","1",IF('Self-Assessment_Cases'!I394="Not Implemented - Unplanned","1",".")))))))))</f>
        <v>.</v>
      </c>
      <c r="G394" s="13" t="s">
        <v>541</v>
      </c>
      <c r="H394" s="14"/>
      <c r="I394" s="92"/>
      <c r="J394" s="93"/>
      <c r="K394" s="85"/>
    </row>
    <row r="395" spans="1:11" s="6" customFormat="1" ht="42" x14ac:dyDescent="0.2">
      <c r="A395" s="4" t="s">
        <v>168</v>
      </c>
      <c r="B395" s="9"/>
      <c r="C395" s="89" t="s">
        <v>247</v>
      </c>
      <c r="D395" s="89" t="s">
        <v>1205</v>
      </c>
      <c r="E395" s="4" t="s">
        <v>167</v>
      </c>
      <c r="F395" s="8" t="str">
        <f>IF('Self-Assessment_Cases'!I395="Implemented","5",IF('Self-Assessment_Cases'!I395="In Progress - Administrative","3",IF('Self-Assessment_Cases'!I395="In Progress - Configuration","3",IF('Self-Assessment_Cases'!I395="In Progress - Installation/Upgrade","3",IF('Self-Assessment_Cases'!I395="Not Implemented - Compensating Control","5",IF('Self-Assessment_Cases'!I395="Not Implemented - Risk Negligible","5",IF('Self-Assessment_Cases'!I395="Not Implemented - Risk Accepted","1",IF('Self-Assessment_Cases'!I395="Not Implemented - Planned","1",IF('Self-Assessment_Cases'!I395="Not Implemented - Unplanned","1",".")))))))))</f>
        <v>.</v>
      </c>
      <c r="G395" s="9" t="s">
        <v>570</v>
      </c>
      <c r="H395" s="14"/>
      <c r="I395" s="92"/>
      <c r="J395" s="14"/>
      <c r="K395" s="9"/>
    </row>
    <row r="396" spans="1:11" s="6" customFormat="1" ht="70" x14ac:dyDescent="0.2">
      <c r="A396" s="4" t="s">
        <v>168</v>
      </c>
      <c r="B396" s="9"/>
      <c r="C396" s="89" t="s">
        <v>247</v>
      </c>
      <c r="D396" s="89" t="s">
        <v>1206</v>
      </c>
      <c r="E396" s="4" t="s">
        <v>540</v>
      </c>
      <c r="F396" s="8" t="str">
        <f>IF('Self-Assessment_Cases'!I396="Implemented","5",IF('Self-Assessment_Cases'!I396="In Progress - Administrative","3",IF('Self-Assessment_Cases'!I396="In Progress - Configuration","3",IF('Self-Assessment_Cases'!I396="In Progress - Installation/Upgrade","3",IF('Self-Assessment_Cases'!I396="Not Implemented - Compensating Control","5",IF('Self-Assessment_Cases'!I396="Not Implemented - Risk Negligible","5",IF('Self-Assessment_Cases'!I396="Not Implemented - Risk Accepted","1",IF('Self-Assessment_Cases'!I396="Not Implemented - Planned","1",IF('Self-Assessment_Cases'!I396="Not Implemented - Unplanned","1",".")))))))))</f>
        <v>.</v>
      </c>
      <c r="G396" s="9" t="s">
        <v>569</v>
      </c>
      <c r="H396" s="14"/>
      <c r="I396" s="92"/>
      <c r="J396" s="14"/>
      <c r="K396" s="9"/>
    </row>
    <row r="397" spans="1:11" s="83" customFormat="1" ht="28" x14ac:dyDescent="0.2">
      <c r="A397" s="72" t="s">
        <v>170</v>
      </c>
      <c r="B397" s="9" t="s">
        <v>280</v>
      </c>
      <c r="C397" s="89" t="s">
        <v>245</v>
      </c>
      <c r="D397" s="89" t="s">
        <v>1207</v>
      </c>
      <c r="E397" s="4" t="s">
        <v>169</v>
      </c>
      <c r="F397" s="8" t="str">
        <f>IF('Self-Assessment_Cases'!I397="Implemented","5",IF('Self-Assessment_Cases'!I397="In Progress - Administrative","3",IF('Self-Assessment_Cases'!I397="In Progress - Configuration","3",IF('Self-Assessment_Cases'!I397="In Progress - Installation/Upgrade","3",IF('Self-Assessment_Cases'!I397="Not Implemented - Compensating Control","5",IF('Self-Assessment_Cases'!I397="Not Implemented - Risk Negligible","5",IF('Self-Assessment_Cases'!I397="Not Implemented - Risk Accepted","1",IF('Self-Assessment_Cases'!I397="Not Implemented - Planned","1",IF('Self-Assessment_Cases'!I397="Not Implemented - Unplanned","1",".")))))))))</f>
        <v>.</v>
      </c>
      <c r="G397" s="75" t="s">
        <v>1380</v>
      </c>
      <c r="H397" s="14"/>
      <c r="I397" s="92"/>
      <c r="J397" s="11"/>
      <c r="K397" s="75"/>
    </row>
    <row r="398" spans="1:11" s="83" customFormat="1" ht="28" x14ac:dyDescent="0.2">
      <c r="A398" s="72" t="s">
        <v>170</v>
      </c>
      <c r="B398" s="9" t="s">
        <v>280</v>
      </c>
      <c r="C398" s="89" t="s">
        <v>245</v>
      </c>
      <c r="D398" s="89" t="s">
        <v>832</v>
      </c>
      <c r="E398" s="4" t="s">
        <v>169</v>
      </c>
      <c r="F398" s="8" t="str">
        <f>IF('Self-Assessment_Cases'!I398="Implemented","5",IF('Self-Assessment_Cases'!I398="In Progress - Administrative","3",IF('Self-Assessment_Cases'!I398="In Progress - Configuration","3",IF('Self-Assessment_Cases'!I398="In Progress - Installation/Upgrade","3",IF('Self-Assessment_Cases'!I398="Not Implemented - Compensating Control","5",IF('Self-Assessment_Cases'!I398="Not Implemented - Risk Negligible","5",IF('Self-Assessment_Cases'!I398="Not Implemented - Risk Accepted","1",IF('Self-Assessment_Cases'!I398="Not Implemented - Planned","1",IF('Self-Assessment_Cases'!I398="Not Implemented - Unplanned","1",".")))))))))</f>
        <v>.</v>
      </c>
      <c r="G398" s="75" t="s">
        <v>1381</v>
      </c>
      <c r="H398" s="14"/>
      <c r="I398" s="92"/>
      <c r="J398" s="11"/>
      <c r="K398" s="75"/>
    </row>
    <row r="399" spans="1:11" s="83" customFormat="1" ht="28" x14ac:dyDescent="0.2">
      <c r="A399" s="72" t="s">
        <v>170</v>
      </c>
      <c r="B399" s="9" t="s">
        <v>280</v>
      </c>
      <c r="C399" s="89" t="s">
        <v>245</v>
      </c>
      <c r="D399" s="89" t="s">
        <v>904</v>
      </c>
      <c r="E399" s="4" t="s">
        <v>169</v>
      </c>
      <c r="F399" s="8" t="str">
        <f>IF('Self-Assessment_Cases'!I399="Implemented","5",IF('Self-Assessment_Cases'!I399="In Progress - Administrative","3",IF('Self-Assessment_Cases'!I399="In Progress - Configuration","3",IF('Self-Assessment_Cases'!I399="In Progress - Installation/Upgrade","3",IF('Self-Assessment_Cases'!I399="Not Implemented - Compensating Control","5",IF('Self-Assessment_Cases'!I399="Not Implemented - Risk Negligible","5",IF('Self-Assessment_Cases'!I399="Not Implemented - Risk Accepted","1",IF('Self-Assessment_Cases'!I399="Not Implemented - Planned","1",IF('Self-Assessment_Cases'!I399="Not Implemented - Unplanned","1",".")))))))))</f>
        <v>.</v>
      </c>
      <c r="G399" s="75" t="s">
        <v>1382</v>
      </c>
      <c r="H399" s="14"/>
      <c r="I399" s="92"/>
      <c r="J399" s="11"/>
      <c r="K399" s="75"/>
    </row>
    <row r="400" spans="1:11" s="83" customFormat="1" ht="28" x14ac:dyDescent="0.2">
      <c r="A400" s="72" t="s">
        <v>170</v>
      </c>
      <c r="B400" s="9" t="s">
        <v>280</v>
      </c>
      <c r="C400" s="89" t="s">
        <v>245</v>
      </c>
      <c r="D400" s="89" t="s">
        <v>963</v>
      </c>
      <c r="E400" s="4" t="s">
        <v>169</v>
      </c>
      <c r="F400" s="8" t="str">
        <f>IF('Self-Assessment_Cases'!I400="Implemented","5",IF('Self-Assessment_Cases'!I400="In Progress - Administrative","3",IF('Self-Assessment_Cases'!I400="In Progress - Configuration","3",IF('Self-Assessment_Cases'!I400="In Progress - Installation/Upgrade","3",IF('Self-Assessment_Cases'!I400="Not Implemented - Compensating Control","5",IF('Self-Assessment_Cases'!I400="Not Implemented - Risk Negligible","5",IF('Self-Assessment_Cases'!I400="Not Implemented - Risk Accepted","1",IF('Self-Assessment_Cases'!I400="Not Implemented - Planned","1",IF('Self-Assessment_Cases'!I400="Not Implemented - Unplanned","1",".")))))))))</f>
        <v>.</v>
      </c>
      <c r="G400" s="75" t="s">
        <v>1383</v>
      </c>
      <c r="H400" s="14"/>
      <c r="I400" s="92"/>
      <c r="J400" s="11"/>
      <c r="K400" s="75"/>
    </row>
    <row r="401" spans="1:11" s="83" customFormat="1" ht="28" x14ac:dyDescent="0.2">
      <c r="A401" s="72" t="s">
        <v>170</v>
      </c>
      <c r="B401" s="9" t="s">
        <v>280</v>
      </c>
      <c r="C401" s="89" t="s">
        <v>245</v>
      </c>
      <c r="D401" s="89" t="s">
        <v>1003</v>
      </c>
      <c r="E401" s="4" t="s">
        <v>169</v>
      </c>
      <c r="F401" s="8" t="str">
        <f>IF('Self-Assessment_Cases'!I401="Implemented","5",IF('Self-Assessment_Cases'!I401="In Progress - Administrative","3",IF('Self-Assessment_Cases'!I401="In Progress - Configuration","3",IF('Self-Assessment_Cases'!I401="In Progress - Installation/Upgrade","3",IF('Self-Assessment_Cases'!I401="Not Implemented - Compensating Control","5",IF('Self-Assessment_Cases'!I401="Not Implemented - Risk Negligible","5",IF('Self-Assessment_Cases'!I401="Not Implemented - Risk Accepted","1",IF('Self-Assessment_Cases'!I401="Not Implemented - Planned","1",IF('Self-Assessment_Cases'!I401="Not Implemented - Unplanned","1",".")))))))))</f>
        <v>.</v>
      </c>
      <c r="G401" s="75" t="s">
        <v>1384</v>
      </c>
      <c r="H401" s="14"/>
      <c r="I401" s="92"/>
      <c r="J401" s="11"/>
      <c r="K401" s="75"/>
    </row>
    <row r="402" spans="1:11" s="83" customFormat="1" ht="28" x14ac:dyDescent="0.2">
      <c r="A402" s="72" t="s">
        <v>170</v>
      </c>
      <c r="B402" s="9" t="s">
        <v>280</v>
      </c>
      <c r="C402" s="89" t="s">
        <v>245</v>
      </c>
      <c r="D402" s="89" t="s">
        <v>1031</v>
      </c>
      <c r="E402" s="4" t="s">
        <v>169</v>
      </c>
      <c r="F402" s="8" t="str">
        <f>IF('Self-Assessment_Cases'!I402="Implemented","5",IF('Self-Assessment_Cases'!I402="In Progress - Administrative","3",IF('Self-Assessment_Cases'!I402="In Progress - Configuration","3",IF('Self-Assessment_Cases'!I402="In Progress - Installation/Upgrade","3",IF('Self-Assessment_Cases'!I402="Not Implemented - Compensating Control","5",IF('Self-Assessment_Cases'!I402="Not Implemented - Risk Negligible","5",IF('Self-Assessment_Cases'!I402="Not Implemented - Risk Accepted","1",IF('Self-Assessment_Cases'!I402="Not Implemented - Planned","1",IF('Self-Assessment_Cases'!I402="Not Implemented - Unplanned","1",".")))))))))</f>
        <v>.</v>
      </c>
      <c r="G402" s="75" t="s">
        <v>1385</v>
      </c>
      <c r="H402" s="14"/>
      <c r="I402" s="92"/>
      <c r="J402" s="11"/>
      <c r="K402" s="75"/>
    </row>
    <row r="403" spans="1:11" s="83" customFormat="1" ht="28" x14ac:dyDescent="0.2">
      <c r="A403" s="72" t="s">
        <v>170</v>
      </c>
      <c r="B403" s="9" t="s">
        <v>280</v>
      </c>
      <c r="C403" s="89" t="s">
        <v>245</v>
      </c>
      <c r="D403" s="89" t="s">
        <v>1056</v>
      </c>
      <c r="E403" s="4" t="s">
        <v>169</v>
      </c>
      <c r="F403" s="8" t="str">
        <f>IF('Self-Assessment_Cases'!I403="Implemented","5",IF('Self-Assessment_Cases'!I403="In Progress - Administrative","3",IF('Self-Assessment_Cases'!I403="In Progress - Configuration","3",IF('Self-Assessment_Cases'!I403="In Progress - Installation/Upgrade","3",IF('Self-Assessment_Cases'!I403="Not Implemented - Compensating Control","5",IF('Self-Assessment_Cases'!I403="Not Implemented - Risk Negligible","5",IF('Self-Assessment_Cases'!I403="Not Implemented - Risk Accepted","1",IF('Self-Assessment_Cases'!I403="Not Implemented - Planned","1",IF('Self-Assessment_Cases'!I403="Not Implemented - Unplanned","1",".")))))))))</f>
        <v>.</v>
      </c>
      <c r="G403" s="75" t="s">
        <v>1378</v>
      </c>
      <c r="H403" s="14"/>
      <c r="I403" s="92"/>
      <c r="J403" s="11"/>
      <c r="K403" s="75"/>
    </row>
    <row r="404" spans="1:11" s="83" customFormat="1" ht="42" x14ac:dyDescent="0.2">
      <c r="A404" s="72" t="s">
        <v>170</v>
      </c>
      <c r="B404" s="9" t="s">
        <v>280</v>
      </c>
      <c r="C404" s="89" t="s">
        <v>245</v>
      </c>
      <c r="D404" s="89" t="s">
        <v>1076</v>
      </c>
      <c r="E404" s="4" t="s">
        <v>169</v>
      </c>
      <c r="F404" s="8" t="str">
        <f>IF('Self-Assessment_Cases'!I404="Implemented","5",IF('Self-Assessment_Cases'!I404="In Progress - Administrative","3",IF('Self-Assessment_Cases'!I404="In Progress - Configuration","3",IF('Self-Assessment_Cases'!I404="In Progress - Installation/Upgrade","3",IF('Self-Assessment_Cases'!I404="Not Implemented - Compensating Control","5",IF('Self-Assessment_Cases'!I404="Not Implemented - Risk Negligible","5",IF('Self-Assessment_Cases'!I404="Not Implemented - Risk Accepted","1",IF('Self-Assessment_Cases'!I404="Not Implemented - Planned","1",IF('Self-Assessment_Cases'!I404="Not Implemented - Unplanned","1",".")))))))))</f>
        <v>.</v>
      </c>
      <c r="G404" s="80" t="s">
        <v>1379</v>
      </c>
      <c r="H404" s="14"/>
      <c r="I404" s="92"/>
      <c r="J404" s="11"/>
      <c r="K404" s="75"/>
    </row>
    <row r="405" spans="1:11" s="83" customFormat="1" ht="42" x14ac:dyDescent="0.2">
      <c r="A405" s="72" t="s">
        <v>170</v>
      </c>
      <c r="B405" s="9" t="s">
        <v>280</v>
      </c>
      <c r="C405" s="89" t="s">
        <v>245</v>
      </c>
      <c r="D405" s="89" t="s">
        <v>1095</v>
      </c>
      <c r="E405" s="4" t="s">
        <v>169</v>
      </c>
      <c r="F405" s="8" t="str">
        <f>IF('Self-Assessment_Cases'!I405="Implemented","5",IF('Self-Assessment_Cases'!I405="In Progress - Administrative","3",IF('Self-Assessment_Cases'!I405="In Progress - Configuration","3",IF('Self-Assessment_Cases'!I405="In Progress - Installation/Upgrade","3",IF('Self-Assessment_Cases'!I405="Not Implemented - Compensating Control","5",IF('Self-Assessment_Cases'!I405="Not Implemented - Risk Negligible","5",IF('Self-Assessment_Cases'!I405="Not Implemented - Risk Accepted","1",IF('Self-Assessment_Cases'!I405="Not Implemented - Planned","1",IF('Self-Assessment_Cases'!I405="Not Implemented - Unplanned","1",".")))))))))</f>
        <v>.</v>
      </c>
      <c r="G405" s="80" t="s">
        <v>389</v>
      </c>
      <c r="H405" s="14"/>
      <c r="I405" s="92"/>
      <c r="J405" s="11"/>
      <c r="K405" s="75"/>
    </row>
    <row r="406" spans="1:11" s="83" customFormat="1" ht="42" x14ac:dyDescent="0.2">
      <c r="A406" s="72" t="s">
        <v>170</v>
      </c>
      <c r="B406" s="9" t="s">
        <v>280</v>
      </c>
      <c r="C406" s="89" t="s">
        <v>245</v>
      </c>
      <c r="D406" s="89" t="s">
        <v>1377</v>
      </c>
      <c r="E406" s="4" t="s">
        <v>169</v>
      </c>
      <c r="F406" s="8" t="str">
        <f>IF('Self-Assessment_Cases'!I406="Implemented","5",IF('Self-Assessment_Cases'!I406="In Progress - Administrative","3",IF('Self-Assessment_Cases'!I406="In Progress - Configuration","3",IF('Self-Assessment_Cases'!I406="In Progress - Installation/Upgrade","3",IF('Self-Assessment_Cases'!I406="Not Implemented - Compensating Control","5",IF('Self-Assessment_Cases'!I406="Not Implemented - Risk Negligible","5",IF('Self-Assessment_Cases'!I406="Not Implemented - Risk Accepted","1",IF('Self-Assessment_Cases'!I406="Not Implemented - Planned","1",IF('Self-Assessment_Cases'!I406="Not Implemented - Unplanned","1",".")))))))))</f>
        <v>.</v>
      </c>
      <c r="G406" s="80" t="s">
        <v>390</v>
      </c>
      <c r="H406" s="14"/>
      <c r="I406" s="92"/>
      <c r="J406" s="11"/>
      <c r="K406" s="75"/>
    </row>
    <row r="407" spans="1:11" s="83" customFormat="1" ht="56" x14ac:dyDescent="0.2">
      <c r="A407" s="72" t="s">
        <v>172</v>
      </c>
      <c r="B407" s="9"/>
      <c r="C407" s="89" t="s">
        <v>245</v>
      </c>
      <c r="D407" s="89" t="s">
        <v>1208</v>
      </c>
      <c r="E407" s="4" t="s">
        <v>171</v>
      </c>
      <c r="F407" s="8" t="str">
        <f>IF('Self-Assessment_Cases'!I407="Implemented","5",IF('Self-Assessment_Cases'!I407="In Progress - Administrative","3",IF('Self-Assessment_Cases'!I407="In Progress - Configuration","3",IF('Self-Assessment_Cases'!I407="In Progress - Installation/Upgrade","3",IF('Self-Assessment_Cases'!I407="Not Implemented - Compensating Control","5",IF('Self-Assessment_Cases'!I407="Not Implemented - Risk Negligible","5",IF('Self-Assessment_Cases'!I407="Not Implemented - Risk Accepted","1",IF('Self-Assessment_Cases'!I407="Not Implemented - Planned","1",IF('Self-Assessment_Cases'!I407="Not Implemented - Unplanned","1",".")))))))))</f>
        <v>.</v>
      </c>
      <c r="G407" s="80" t="s">
        <v>419</v>
      </c>
      <c r="H407" s="14"/>
      <c r="I407" s="92"/>
      <c r="J407" s="11"/>
      <c r="K407" s="75"/>
    </row>
    <row r="408" spans="1:11" s="83" customFormat="1" ht="42" x14ac:dyDescent="0.2">
      <c r="A408" s="72" t="s">
        <v>172</v>
      </c>
      <c r="B408" s="9"/>
      <c r="C408" s="89" t="s">
        <v>245</v>
      </c>
      <c r="D408" s="89" t="s">
        <v>833</v>
      </c>
      <c r="E408" s="4" t="s">
        <v>171</v>
      </c>
      <c r="F408" s="8" t="str">
        <f>IF('Self-Assessment_Cases'!I408="Implemented","5",IF('Self-Assessment_Cases'!I408="In Progress - Administrative","3",IF('Self-Assessment_Cases'!I408="In Progress - Configuration","3",IF('Self-Assessment_Cases'!I408="In Progress - Installation/Upgrade","3",IF('Self-Assessment_Cases'!I408="Not Implemented - Compensating Control","5",IF('Self-Assessment_Cases'!I408="Not Implemented - Risk Negligible","5",IF('Self-Assessment_Cases'!I408="Not Implemented - Risk Accepted","1",IF('Self-Assessment_Cases'!I408="Not Implemented - Planned","1",IF('Self-Assessment_Cases'!I408="Not Implemented - Unplanned","1",".")))))))))</f>
        <v>.</v>
      </c>
      <c r="G408" s="80" t="s">
        <v>420</v>
      </c>
      <c r="H408" s="14"/>
      <c r="I408" s="92"/>
      <c r="J408" s="11"/>
      <c r="K408" s="75"/>
    </row>
    <row r="409" spans="1:11" s="83" customFormat="1" ht="42" x14ac:dyDescent="0.2">
      <c r="A409" s="72" t="s">
        <v>172</v>
      </c>
      <c r="B409" s="9"/>
      <c r="C409" s="89" t="s">
        <v>245</v>
      </c>
      <c r="D409" s="89" t="s">
        <v>905</v>
      </c>
      <c r="E409" s="4" t="s">
        <v>171</v>
      </c>
      <c r="F409" s="8" t="str">
        <f>IF('Self-Assessment_Cases'!I409="Implemented","5",IF('Self-Assessment_Cases'!I409="In Progress - Administrative","3",IF('Self-Assessment_Cases'!I409="In Progress - Configuration","3",IF('Self-Assessment_Cases'!I409="In Progress - Installation/Upgrade","3",IF('Self-Assessment_Cases'!I409="Not Implemented - Compensating Control","5",IF('Self-Assessment_Cases'!I409="Not Implemented - Risk Negligible","5",IF('Self-Assessment_Cases'!I409="Not Implemented - Risk Accepted","1",IF('Self-Assessment_Cases'!I409="Not Implemented - Planned","1",IF('Self-Assessment_Cases'!I409="Not Implemented - Unplanned","1",".")))))))))</f>
        <v>.</v>
      </c>
      <c r="G409" s="75" t="s">
        <v>421</v>
      </c>
      <c r="H409" s="14"/>
      <c r="I409" s="92"/>
      <c r="J409" s="11"/>
      <c r="K409" s="75"/>
    </row>
    <row r="410" spans="1:11" s="83" customFormat="1" ht="28" x14ac:dyDescent="0.2">
      <c r="A410" s="72" t="s">
        <v>174</v>
      </c>
      <c r="B410" s="9" t="s">
        <v>278</v>
      </c>
      <c r="C410" s="89" t="s">
        <v>245</v>
      </c>
      <c r="D410" s="89" t="s">
        <v>1209</v>
      </c>
      <c r="E410" s="4" t="s">
        <v>173</v>
      </c>
      <c r="F410" s="8" t="str">
        <f>IF('Self-Assessment_Cases'!I410="Implemented","5",IF('Self-Assessment_Cases'!I410="In Progress - Administrative","3",IF('Self-Assessment_Cases'!I410="In Progress - Configuration","3",IF('Self-Assessment_Cases'!I410="In Progress - Installation/Upgrade","3",IF('Self-Assessment_Cases'!I410="Not Implemented - Compensating Control","5",IF('Self-Assessment_Cases'!I410="Not Implemented - Risk Negligible","5",IF('Self-Assessment_Cases'!I410="Not Implemented - Risk Accepted","1",IF('Self-Assessment_Cases'!I410="Not Implemented - Planned","1",IF('Self-Assessment_Cases'!I410="Not Implemented - Unplanned","1",".")))))))))</f>
        <v>.</v>
      </c>
      <c r="G410" s="75" t="s">
        <v>719</v>
      </c>
      <c r="H410" s="14"/>
      <c r="I410" s="92"/>
      <c r="J410" s="11"/>
      <c r="K410" s="75"/>
    </row>
    <row r="411" spans="1:11" s="83" customFormat="1" ht="56" x14ac:dyDescent="0.2">
      <c r="A411" s="72" t="s">
        <v>174</v>
      </c>
      <c r="B411" s="9" t="s">
        <v>278</v>
      </c>
      <c r="C411" s="89" t="s">
        <v>245</v>
      </c>
      <c r="D411" s="89" t="s">
        <v>834</v>
      </c>
      <c r="E411" s="4" t="s">
        <v>173</v>
      </c>
      <c r="F411" s="8" t="str">
        <f>IF('Self-Assessment_Cases'!I411="Implemented","5",IF('Self-Assessment_Cases'!I411="In Progress - Administrative","3",IF('Self-Assessment_Cases'!I411="In Progress - Configuration","3",IF('Self-Assessment_Cases'!I411="In Progress - Installation/Upgrade","3",IF('Self-Assessment_Cases'!I411="Not Implemented - Compensating Control","5",IF('Self-Assessment_Cases'!I411="Not Implemented - Risk Negligible","5",IF('Self-Assessment_Cases'!I411="Not Implemented - Risk Accepted","1",IF('Self-Assessment_Cases'!I411="Not Implemented - Planned","1",IF('Self-Assessment_Cases'!I411="Not Implemented - Unplanned","1",".")))))))))</f>
        <v>.</v>
      </c>
      <c r="G411" s="75" t="s">
        <v>720</v>
      </c>
      <c r="H411" s="14"/>
      <c r="I411" s="92"/>
      <c r="J411" s="11"/>
      <c r="K411" s="75"/>
    </row>
    <row r="412" spans="1:11" s="83" customFormat="1" ht="28" x14ac:dyDescent="0.2">
      <c r="A412" s="72" t="s">
        <v>174</v>
      </c>
      <c r="B412" s="9" t="s">
        <v>278</v>
      </c>
      <c r="C412" s="89" t="s">
        <v>245</v>
      </c>
      <c r="D412" s="89" t="s">
        <v>906</v>
      </c>
      <c r="E412" s="4" t="s">
        <v>173</v>
      </c>
      <c r="F412" s="8" t="str">
        <f>IF('Self-Assessment_Cases'!I412="Implemented","5",IF('Self-Assessment_Cases'!I412="In Progress - Administrative","3",IF('Self-Assessment_Cases'!I412="In Progress - Configuration","3",IF('Self-Assessment_Cases'!I412="In Progress - Installation/Upgrade","3",IF('Self-Assessment_Cases'!I412="Not Implemented - Compensating Control","5",IF('Self-Assessment_Cases'!I412="Not Implemented - Risk Negligible","5",IF('Self-Assessment_Cases'!I412="Not Implemented - Risk Accepted","1",IF('Self-Assessment_Cases'!I412="Not Implemented - Planned","1",IF('Self-Assessment_Cases'!I412="Not Implemented - Unplanned","1",".")))))))))</f>
        <v>.</v>
      </c>
      <c r="G412" s="75" t="s">
        <v>422</v>
      </c>
      <c r="H412" s="14"/>
      <c r="I412" s="92"/>
      <c r="J412" s="11"/>
      <c r="K412" s="75"/>
    </row>
    <row r="413" spans="1:11" s="83" customFormat="1" ht="28" x14ac:dyDescent="0.2">
      <c r="A413" s="72" t="s">
        <v>174</v>
      </c>
      <c r="B413" s="9" t="s">
        <v>278</v>
      </c>
      <c r="C413" s="89" t="s">
        <v>245</v>
      </c>
      <c r="D413" s="89" t="s">
        <v>964</v>
      </c>
      <c r="E413" s="4" t="s">
        <v>173</v>
      </c>
      <c r="F413" s="8" t="str">
        <f>IF('Self-Assessment_Cases'!I413="Implemented","5",IF('Self-Assessment_Cases'!I413="In Progress - Administrative","3",IF('Self-Assessment_Cases'!I413="In Progress - Configuration","3",IF('Self-Assessment_Cases'!I413="In Progress - Installation/Upgrade","3",IF('Self-Assessment_Cases'!I413="Not Implemented - Compensating Control","5",IF('Self-Assessment_Cases'!I413="Not Implemented - Risk Negligible","5",IF('Self-Assessment_Cases'!I413="Not Implemented - Risk Accepted","1",IF('Self-Assessment_Cases'!I413="Not Implemented - Planned","1",IF('Self-Assessment_Cases'!I413="Not Implemented - Unplanned","1",".")))))))))</f>
        <v>.</v>
      </c>
      <c r="G413" s="75" t="s">
        <v>423</v>
      </c>
      <c r="H413" s="14"/>
      <c r="I413" s="92"/>
      <c r="J413" s="11"/>
      <c r="K413" s="75"/>
    </row>
    <row r="414" spans="1:11" s="83" customFormat="1" ht="28" x14ac:dyDescent="0.2">
      <c r="A414" s="72" t="s">
        <v>176</v>
      </c>
      <c r="B414" s="9" t="s">
        <v>279</v>
      </c>
      <c r="C414" s="89" t="s">
        <v>245</v>
      </c>
      <c r="D414" s="89" t="s">
        <v>1210</v>
      </c>
      <c r="E414" s="4" t="s">
        <v>175</v>
      </c>
      <c r="F414" s="8" t="str">
        <f>IF('Self-Assessment_Cases'!I414="Implemented","5",IF('Self-Assessment_Cases'!I414="In Progress - Administrative","3",IF('Self-Assessment_Cases'!I414="In Progress - Configuration","3",IF('Self-Assessment_Cases'!I414="In Progress - Installation/Upgrade","3",IF('Self-Assessment_Cases'!I414="Not Implemented - Compensating Control","5",IF('Self-Assessment_Cases'!I414="Not Implemented - Risk Negligible","5",IF('Self-Assessment_Cases'!I414="Not Implemented - Risk Accepted","1",IF('Self-Assessment_Cases'!I414="Not Implemented - Planned","1",IF('Self-Assessment_Cases'!I414="Not Implemented - Unplanned","1",".")))))))))</f>
        <v>.</v>
      </c>
      <c r="G414" s="75" t="s">
        <v>424</v>
      </c>
      <c r="H414" s="14"/>
      <c r="I414" s="92"/>
      <c r="J414" s="11"/>
      <c r="K414" s="75"/>
    </row>
    <row r="415" spans="1:11" s="83" customFormat="1" ht="28" x14ac:dyDescent="0.2">
      <c r="A415" s="72" t="s">
        <v>176</v>
      </c>
      <c r="B415" s="9" t="s">
        <v>279</v>
      </c>
      <c r="C415" s="89" t="s">
        <v>245</v>
      </c>
      <c r="D415" s="89" t="s">
        <v>835</v>
      </c>
      <c r="E415" s="4" t="s">
        <v>175</v>
      </c>
      <c r="F415" s="8" t="str">
        <f>IF('Self-Assessment_Cases'!I415="Implemented","5",IF('Self-Assessment_Cases'!I415="In Progress - Administrative","3",IF('Self-Assessment_Cases'!I415="In Progress - Configuration","3",IF('Self-Assessment_Cases'!I415="In Progress - Installation/Upgrade","3",IF('Self-Assessment_Cases'!I415="Not Implemented - Compensating Control","5",IF('Self-Assessment_Cases'!I415="Not Implemented - Risk Negligible","5",IF('Self-Assessment_Cases'!I415="Not Implemented - Risk Accepted","1",IF('Self-Assessment_Cases'!I415="Not Implemented - Planned","1",IF('Self-Assessment_Cases'!I415="Not Implemented - Unplanned","1",".")))))))))</f>
        <v>.</v>
      </c>
      <c r="G415" s="75" t="s">
        <v>425</v>
      </c>
      <c r="H415" s="14"/>
      <c r="I415" s="92"/>
      <c r="J415" s="11"/>
      <c r="K415" s="75"/>
    </row>
    <row r="416" spans="1:11" s="83" customFormat="1" ht="28" x14ac:dyDescent="0.2">
      <c r="A416" s="72" t="s">
        <v>176</v>
      </c>
      <c r="B416" s="9" t="s">
        <v>279</v>
      </c>
      <c r="C416" s="89" t="s">
        <v>245</v>
      </c>
      <c r="D416" s="89" t="s">
        <v>907</v>
      </c>
      <c r="E416" s="4" t="s">
        <v>175</v>
      </c>
      <c r="F416" s="8" t="str">
        <f>IF('Self-Assessment_Cases'!I416="Implemented","5",IF('Self-Assessment_Cases'!I416="In Progress - Administrative","3",IF('Self-Assessment_Cases'!I416="In Progress - Configuration","3",IF('Self-Assessment_Cases'!I416="In Progress - Installation/Upgrade","3",IF('Self-Assessment_Cases'!I416="Not Implemented - Compensating Control","5",IF('Self-Assessment_Cases'!I416="Not Implemented - Risk Negligible","5",IF('Self-Assessment_Cases'!I416="Not Implemented - Risk Accepted","1",IF('Self-Assessment_Cases'!I416="Not Implemented - Planned","1",IF('Self-Assessment_Cases'!I416="Not Implemented - Unplanned","1",".")))))))))</f>
        <v>.</v>
      </c>
      <c r="G416" s="75" t="s">
        <v>426</v>
      </c>
      <c r="H416" s="14"/>
      <c r="I416" s="92"/>
      <c r="J416" s="11"/>
      <c r="K416" s="75"/>
    </row>
    <row r="417" spans="1:11" s="83" customFormat="1" ht="28" x14ac:dyDescent="0.2">
      <c r="A417" s="72" t="s">
        <v>176</v>
      </c>
      <c r="B417" s="9" t="s">
        <v>279</v>
      </c>
      <c r="C417" s="89" t="s">
        <v>245</v>
      </c>
      <c r="D417" s="89" t="s">
        <v>965</v>
      </c>
      <c r="E417" s="4" t="s">
        <v>175</v>
      </c>
      <c r="F417" s="8" t="str">
        <f>IF('Self-Assessment_Cases'!I417="Implemented","5",IF('Self-Assessment_Cases'!I417="In Progress - Administrative","3",IF('Self-Assessment_Cases'!I417="In Progress - Configuration","3",IF('Self-Assessment_Cases'!I417="In Progress - Installation/Upgrade","3",IF('Self-Assessment_Cases'!I417="Not Implemented - Compensating Control","5",IF('Self-Assessment_Cases'!I417="Not Implemented - Risk Negligible","5",IF('Self-Assessment_Cases'!I417="Not Implemented - Risk Accepted","1",IF('Self-Assessment_Cases'!I417="Not Implemented - Planned","1",IF('Self-Assessment_Cases'!I417="Not Implemented - Unplanned","1",".")))))))))</f>
        <v>.</v>
      </c>
      <c r="G417" s="75" t="s">
        <v>427</v>
      </c>
      <c r="H417" s="14"/>
      <c r="I417" s="92"/>
      <c r="J417" s="11"/>
      <c r="K417" s="75"/>
    </row>
    <row r="418" spans="1:11" s="83" customFormat="1" ht="28" x14ac:dyDescent="0.2">
      <c r="A418" s="72" t="s">
        <v>176</v>
      </c>
      <c r="B418" s="9" t="s">
        <v>279</v>
      </c>
      <c r="C418" s="89" t="s">
        <v>245</v>
      </c>
      <c r="D418" s="89" t="s">
        <v>1004</v>
      </c>
      <c r="E418" s="4" t="s">
        <v>175</v>
      </c>
      <c r="F418" s="8" t="str">
        <f>IF('Self-Assessment_Cases'!I418="Implemented","5",IF('Self-Assessment_Cases'!I418="In Progress - Administrative","3",IF('Self-Assessment_Cases'!I418="In Progress - Configuration","3",IF('Self-Assessment_Cases'!I418="In Progress - Installation/Upgrade","3",IF('Self-Assessment_Cases'!I418="Not Implemented - Compensating Control","5",IF('Self-Assessment_Cases'!I418="Not Implemented - Risk Negligible","5",IF('Self-Assessment_Cases'!I418="Not Implemented - Risk Accepted","1",IF('Self-Assessment_Cases'!I418="Not Implemented - Planned","1",IF('Self-Assessment_Cases'!I418="Not Implemented - Unplanned","1",".")))))))))</f>
        <v>.</v>
      </c>
      <c r="G418" s="75" t="s">
        <v>428</v>
      </c>
      <c r="H418" s="14"/>
      <c r="I418" s="92"/>
      <c r="J418" s="11"/>
      <c r="K418" s="75"/>
    </row>
    <row r="419" spans="1:11" s="6" customFormat="1" ht="28" x14ac:dyDescent="0.2">
      <c r="A419" s="4" t="s">
        <v>178</v>
      </c>
      <c r="B419" s="9" t="s">
        <v>370</v>
      </c>
      <c r="C419" s="89" t="s">
        <v>247</v>
      </c>
      <c r="D419" s="89" t="s">
        <v>1211</v>
      </c>
      <c r="E419" s="4" t="s">
        <v>177</v>
      </c>
      <c r="F419" s="8" t="str">
        <f>IF('Self-Assessment_Cases'!I419="Implemented","5",IF('Self-Assessment_Cases'!I419="In Progress - Administrative","3",IF('Self-Assessment_Cases'!I419="In Progress - Configuration","3",IF('Self-Assessment_Cases'!I419="In Progress - Installation/Upgrade","3",IF('Self-Assessment_Cases'!I419="Not Implemented - Compensating Control","5",IF('Self-Assessment_Cases'!I419="Not Implemented - Risk Negligible","5",IF('Self-Assessment_Cases'!I419="Not Implemented - Risk Accepted","1",IF('Self-Assessment_Cases'!I419="Not Implemented - Planned","1",IF('Self-Assessment_Cases'!I419="Not Implemented - Unplanned","1",".")))))))))</f>
        <v>.</v>
      </c>
      <c r="G419" s="10" t="s">
        <v>1392</v>
      </c>
      <c r="H419" s="14"/>
      <c r="I419" s="92"/>
      <c r="J419" s="14"/>
      <c r="K419" s="10"/>
    </row>
    <row r="420" spans="1:11" s="6" customFormat="1" ht="28" x14ac:dyDescent="0.2">
      <c r="A420" s="4" t="s">
        <v>178</v>
      </c>
      <c r="B420" s="9" t="s">
        <v>370</v>
      </c>
      <c r="C420" s="89" t="s">
        <v>247</v>
      </c>
      <c r="D420" s="89" t="s">
        <v>836</v>
      </c>
      <c r="E420" s="4" t="s">
        <v>177</v>
      </c>
      <c r="F420" s="8" t="str">
        <f>IF('Self-Assessment_Cases'!I420="Implemented","5",IF('Self-Assessment_Cases'!I420="In Progress - Administrative","3",IF('Self-Assessment_Cases'!I420="In Progress - Configuration","3",IF('Self-Assessment_Cases'!I420="In Progress - Installation/Upgrade","3",IF('Self-Assessment_Cases'!I420="Not Implemented - Compensating Control","5",IF('Self-Assessment_Cases'!I420="Not Implemented - Risk Negligible","5",IF('Self-Assessment_Cases'!I420="Not Implemented - Risk Accepted","1",IF('Self-Assessment_Cases'!I420="Not Implemented - Planned","1",IF('Self-Assessment_Cases'!I420="Not Implemented - Unplanned","1",".")))))))))</f>
        <v>.</v>
      </c>
      <c r="G420" s="10" t="s">
        <v>1393</v>
      </c>
      <c r="H420" s="14"/>
      <c r="I420" s="92"/>
      <c r="J420" s="14"/>
      <c r="K420" s="10"/>
    </row>
    <row r="421" spans="1:11" s="6" customFormat="1" ht="28" x14ac:dyDescent="0.2">
      <c r="A421" s="4" t="s">
        <v>178</v>
      </c>
      <c r="B421" s="9" t="s">
        <v>370</v>
      </c>
      <c r="C421" s="89" t="s">
        <v>247</v>
      </c>
      <c r="D421" s="89" t="s">
        <v>908</v>
      </c>
      <c r="E421" s="4" t="s">
        <v>177</v>
      </c>
      <c r="F421" s="8" t="str">
        <f>IF('Self-Assessment_Cases'!I421="Implemented","5",IF('Self-Assessment_Cases'!I421="In Progress - Administrative","3",IF('Self-Assessment_Cases'!I421="In Progress - Configuration","3",IF('Self-Assessment_Cases'!I421="In Progress - Installation/Upgrade","3",IF('Self-Assessment_Cases'!I421="Not Implemented - Compensating Control","5",IF('Self-Assessment_Cases'!I421="Not Implemented - Risk Negligible","5",IF('Self-Assessment_Cases'!I421="Not Implemented - Risk Accepted","1",IF('Self-Assessment_Cases'!I421="Not Implemented - Planned","1",IF('Self-Assessment_Cases'!I421="Not Implemented - Unplanned","1",".")))))))))</f>
        <v>.</v>
      </c>
      <c r="G421" s="10" t="s">
        <v>1394</v>
      </c>
      <c r="H421" s="14"/>
      <c r="I421" s="92"/>
      <c r="J421" s="14"/>
      <c r="K421" s="10"/>
    </row>
    <row r="422" spans="1:11" s="6" customFormat="1" ht="28" x14ac:dyDescent="0.2">
      <c r="A422" s="4" t="s">
        <v>178</v>
      </c>
      <c r="B422" s="9" t="s">
        <v>370</v>
      </c>
      <c r="C422" s="89" t="s">
        <v>247</v>
      </c>
      <c r="D422" s="89" t="s">
        <v>966</v>
      </c>
      <c r="E422" s="4" t="s">
        <v>177</v>
      </c>
      <c r="F422" s="8" t="str">
        <f>IF('Self-Assessment_Cases'!I422="Implemented","5",IF('Self-Assessment_Cases'!I422="In Progress - Administrative","3",IF('Self-Assessment_Cases'!I422="In Progress - Configuration","3",IF('Self-Assessment_Cases'!I422="In Progress - Installation/Upgrade","3",IF('Self-Assessment_Cases'!I422="Not Implemented - Compensating Control","5",IF('Self-Assessment_Cases'!I422="Not Implemented - Risk Negligible","5",IF('Self-Assessment_Cases'!I422="Not Implemented - Risk Accepted","1",IF('Self-Assessment_Cases'!I422="Not Implemented - Planned","1",IF('Self-Assessment_Cases'!I422="Not Implemented - Unplanned","1",".")))))))))</f>
        <v>.</v>
      </c>
      <c r="G422" s="10" t="s">
        <v>1395</v>
      </c>
      <c r="H422" s="14"/>
      <c r="I422" s="92"/>
      <c r="J422" s="14"/>
      <c r="K422" s="10"/>
    </row>
    <row r="423" spans="1:11" s="6" customFormat="1" ht="28" x14ac:dyDescent="0.2">
      <c r="A423" s="4" t="s">
        <v>178</v>
      </c>
      <c r="B423" s="9" t="s">
        <v>370</v>
      </c>
      <c r="C423" s="89" t="s">
        <v>247</v>
      </c>
      <c r="D423" s="89" t="s">
        <v>1005</v>
      </c>
      <c r="E423" s="4" t="s">
        <v>177</v>
      </c>
      <c r="F423" s="8" t="str">
        <f>IF('Self-Assessment_Cases'!I423="Implemented","5",IF('Self-Assessment_Cases'!I423="In Progress - Administrative","3",IF('Self-Assessment_Cases'!I423="In Progress - Configuration","3",IF('Self-Assessment_Cases'!I423="In Progress - Installation/Upgrade","3",IF('Self-Assessment_Cases'!I423="Not Implemented - Compensating Control","5",IF('Self-Assessment_Cases'!I423="Not Implemented - Risk Negligible","5",IF('Self-Assessment_Cases'!I423="Not Implemented - Risk Accepted","1",IF('Self-Assessment_Cases'!I423="Not Implemented - Planned","1",IF('Self-Assessment_Cases'!I423="Not Implemented - Unplanned","1",".")))))))))</f>
        <v>.</v>
      </c>
      <c r="G423" s="10" t="s">
        <v>1396</v>
      </c>
      <c r="H423" s="14"/>
      <c r="I423" s="92"/>
      <c r="J423" s="14"/>
      <c r="K423" s="10"/>
    </row>
    <row r="424" spans="1:11" s="6" customFormat="1" ht="28" x14ac:dyDescent="0.2">
      <c r="A424" s="4" t="s">
        <v>178</v>
      </c>
      <c r="B424" s="9" t="s">
        <v>370</v>
      </c>
      <c r="C424" s="89" t="s">
        <v>247</v>
      </c>
      <c r="D424" s="89" t="s">
        <v>1032</v>
      </c>
      <c r="E424" s="4" t="s">
        <v>177</v>
      </c>
      <c r="F424" s="8" t="str">
        <f>IF('Self-Assessment_Cases'!I424="Implemented","5",IF('Self-Assessment_Cases'!I424="In Progress - Administrative","3",IF('Self-Assessment_Cases'!I424="In Progress - Configuration","3",IF('Self-Assessment_Cases'!I424="In Progress - Installation/Upgrade","3",IF('Self-Assessment_Cases'!I424="Not Implemented - Compensating Control","5",IF('Self-Assessment_Cases'!I424="Not Implemented - Risk Negligible","5",IF('Self-Assessment_Cases'!I424="Not Implemented - Risk Accepted","1",IF('Self-Assessment_Cases'!I424="Not Implemented - Planned","1",IF('Self-Assessment_Cases'!I424="Not Implemented - Unplanned","1",".")))))))))</f>
        <v>.</v>
      </c>
      <c r="G424" s="23" t="s">
        <v>1397</v>
      </c>
      <c r="H424" s="14"/>
      <c r="I424" s="92"/>
      <c r="J424" s="14"/>
      <c r="K424" s="10"/>
    </row>
    <row r="425" spans="1:11" s="6" customFormat="1" ht="42" x14ac:dyDescent="0.2">
      <c r="A425" s="4" t="s">
        <v>178</v>
      </c>
      <c r="B425" s="9" t="s">
        <v>370</v>
      </c>
      <c r="C425" s="89" t="s">
        <v>247</v>
      </c>
      <c r="D425" s="89" t="s">
        <v>1057</v>
      </c>
      <c r="E425" s="4" t="s">
        <v>177</v>
      </c>
      <c r="F425" s="8" t="str">
        <f>IF('Self-Assessment_Cases'!I425="Implemented","5",IF('Self-Assessment_Cases'!I425="In Progress - Administrative","3",IF('Self-Assessment_Cases'!I425="In Progress - Configuration","3",IF('Self-Assessment_Cases'!I425="In Progress - Installation/Upgrade","3",IF('Self-Assessment_Cases'!I425="Not Implemented - Compensating Control","5",IF('Self-Assessment_Cases'!I425="Not Implemented - Risk Negligible","5",IF('Self-Assessment_Cases'!I425="Not Implemented - Risk Accepted","1",IF('Self-Assessment_Cases'!I425="Not Implemented - Planned","1",IF('Self-Assessment_Cases'!I425="Not Implemented - Unplanned","1",".")))))))))</f>
        <v>.</v>
      </c>
      <c r="G425" s="23" t="s">
        <v>1398</v>
      </c>
      <c r="H425" s="14"/>
      <c r="I425" s="92"/>
      <c r="J425" s="14"/>
      <c r="K425" s="10"/>
    </row>
    <row r="426" spans="1:11" s="6" customFormat="1" ht="56" x14ac:dyDescent="0.2">
      <c r="A426" s="4" t="s">
        <v>178</v>
      </c>
      <c r="B426" s="9" t="s">
        <v>370</v>
      </c>
      <c r="C426" s="89" t="s">
        <v>247</v>
      </c>
      <c r="D426" s="89" t="s">
        <v>1077</v>
      </c>
      <c r="E426" s="4" t="s">
        <v>177</v>
      </c>
      <c r="F426" s="8" t="str">
        <f>IF('Self-Assessment_Cases'!I426="Implemented","5",IF('Self-Assessment_Cases'!I426="In Progress - Administrative","3",IF('Self-Assessment_Cases'!I426="In Progress - Configuration","3",IF('Self-Assessment_Cases'!I426="In Progress - Installation/Upgrade","3",IF('Self-Assessment_Cases'!I426="Not Implemented - Compensating Control","5",IF('Self-Assessment_Cases'!I426="Not Implemented - Risk Negligible","5",IF('Self-Assessment_Cases'!I426="Not Implemented - Risk Accepted","1",IF('Self-Assessment_Cases'!I426="Not Implemented - Planned","1",IF('Self-Assessment_Cases'!I426="Not Implemented - Unplanned","1",".")))))))))</f>
        <v>.</v>
      </c>
      <c r="G426" s="23" t="s">
        <v>1399</v>
      </c>
      <c r="H426" s="14"/>
      <c r="I426" s="92"/>
      <c r="J426" s="14"/>
      <c r="K426" s="10"/>
    </row>
    <row r="427" spans="1:11" s="6" customFormat="1" ht="42" x14ac:dyDescent="0.2">
      <c r="A427" s="4" t="s">
        <v>178</v>
      </c>
      <c r="B427" s="9" t="s">
        <v>370</v>
      </c>
      <c r="C427" s="89" t="s">
        <v>247</v>
      </c>
      <c r="D427" s="89" t="s">
        <v>1096</v>
      </c>
      <c r="E427" s="4" t="s">
        <v>177</v>
      </c>
      <c r="F427" s="8" t="str">
        <f>IF('Self-Assessment_Cases'!I427="Implemented","5",IF('Self-Assessment_Cases'!I427="In Progress - Administrative","3",IF('Self-Assessment_Cases'!I427="In Progress - Configuration","3",IF('Self-Assessment_Cases'!I427="In Progress - Installation/Upgrade","3",IF('Self-Assessment_Cases'!I427="Not Implemented - Compensating Control","5",IF('Self-Assessment_Cases'!I427="Not Implemented - Risk Negligible","5",IF('Self-Assessment_Cases'!I427="Not Implemented - Risk Accepted","1",IF('Self-Assessment_Cases'!I427="Not Implemented - Planned","1",IF('Self-Assessment_Cases'!I427="Not Implemented - Unplanned","1",".")))))))))</f>
        <v>.</v>
      </c>
      <c r="G427" s="23" t="s">
        <v>389</v>
      </c>
      <c r="H427" s="14"/>
      <c r="I427" s="92"/>
      <c r="J427" s="14"/>
      <c r="K427" s="10"/>
    </row>
    <row r="428" spans="1:11" s="6" customFormat="1" ht="42" x14ac:dyDescent="0.2">
      <c r="A428" s="4" t="s">
        <v>178</v>
      </c>
      <c r="B428" s="9" t="s">
        <v>370</v>
      </c>
      <c r="C428" s="89" t="s">
        <v>247</v>
      </c>
      <c r="D428" s="89" t="s">
        <v>1400</v>
      </c>
      <c r="E428" s="4" t="s">
        <v>177</v>
      </c>
      <c r="F428" s="8" t="str">
        <f>IF('Self-Assessment_Cases'!I428="Implemented","5",IF('Self-Assessment_Cases'!I428="In Progress - Administrative","3",IF('Self-Assessment_Cases'!I428="In Progress - Configuration","3",IF('Self-Assessment_Cases'!I428="In Progress - Installation/Upgrade","3",IF('Self-Assessment_Cases'!I428="Not Implemented - Compensating Control","5",IF('Self-Assessment_Cases'!I428="Not Implemented - Risk Negligible","5",IF('Self-Assessment_Cases'!I428="Not Implemented - Risk Accepted","1",IF('Self-Assessment_Cases'!I428="Not Implemented - Planned","1",IF('Self-Assessment_Cases'!I428="Not Implemented - Unplanned","1",".")))))))))</f>
        <v>.</v>
      </c>
      <c r="G428" s="23" t="s">
        <v>390</v>
      </c>
      <c r="H428" s="14"/>
      <c r="I428" s="92"/>
      <c r="J428" s="14"/>
      <c r="K428" s="10"/>
    </row>
    <row r="429" spans="1:11" s="6" customFormat="1" ht="42" x14ac:dyDescent="0.2">
      <c r="A429" s="4" t="s">
        <v>190</v>
      </c>
      <c r="B429" s="9" t="s">
        <v>283</v>
      </c>
      <c r="C429" s="89" t="s">
        <v>246</v>
      </c>
      <c r="D429" s="89" t="s">
        <v>1212</v>
      </c>
      <c r="E429" s="4" t="s">
        <v>189</v>
      </c>
      <c r="F429" s="8" t="str">
        <f>IF('Self-Assessment_Cases'!I429="Implemented","5",IF('Self-Assessment_Cases'!I429="In Progress - Administrative","3",IF('Self-Assessment_Cases'!I429="In Progress - Configuration","3",IF('Self-Assessment_Cases'!I429="In Progress - Installation/Upgrade","3",IF('Self-Assessment_Cases'!I429="Not Implemented - Compensating Control","5",IF('Self-Assessment_Cases'!I429="Not Implemented - Risk Negligible","5",IF('Self-Assessment_Cases'!I429="Not Implemented - Risk Accepted","1",IF('Self-Assessment_Cases'!I429="Not Implemented - Planned","1",IF('Self-Assessment_Cases'!I429="Not Implemented - Unplanned","1",".")))))))))</f>
        <v>.</v>
      </c>
      <c r="G429" s="13" t="s">
        <v>549</v>
      </c>
      <c r="H429" s="14"/>
      <c r="I429" s="92"/>
      <c r="J429" s="93"/>
      <c r="K429" s="85"/>
    </row>
    <row r="430" spans="1:11" s="6" customFormat="1" ht="28" x14ac:dyDescent="0.2">
      <c r="A430" s="4" t="s">
        <v>190</v>
      </c>
      <c r="B430" s="9" t="s">
        <v>283</v>
      </c>
      <c r="C430" s="89" t="s">
        <v>246</v>
      </c>
      <c r="D430" s="89" t="s">
        <v>837</v>
      </c>
      <c r="E430" s="4" t="s">
        <v>189</v>
      </c>
      <c r="F430" s="8" t="str">
        <f>IF('Self-Assessment_Cases'!I430="Implemented","5",IF('Self-Assessment_Cases'!I430="In Progress - Administrative","3",IF('Self-Assessment_Cases'!I430="In Progress - Configuration","3",IF('Self-Assessment_Cases'!I430="In Progress - Installation/Upgrade","3",IF('Self-Assessment_Cases'!I430="Not Implemented - Compensating Control","5",IF('Self-Assessment_Cases'!I430="Not Implemented - Risk Negligible","5",IF('Self-Assessment_Cases'!I430="Not Implemented - Risk Accepted","1",IF('Self-Assessment_Cases'!I430="Not Implemented - Planned","1",IF('Self-Assessment_Cases'!I430="Not Implemented - Unplanned","1",".")))))))))</f>
        <v>.</v>
      </c>
      <c r="G430" s="13" t="s">
        <v>548</v>
      </c>
      <c r="H430" s="14"/>
      <c r="I430" s="92"/>
      <c r="J430" s="93"/>
      <c r="K430" s="85"/>
    </row>
    <row r="431" spans="1:11" s="108" customFormat="1" ht="70" x14ac:dyDescent="0.2">
      <c r="A431" s="10" t="s">
        <v>192</v>
      </c>
      <c r="B431" s="9" t="s">
        <v>284</v>
      </c>
      <c r="C431" s="112" t="s">
        <v>246</v>
      </c>
      <c r="D431" s="112" t="s">
        <v>1213</v>
      </c>
      <c r="E431" s="10" t="s">
        <v>191</v>
      </c>
      <c r="F431" s="107" t="str">
        <f>IF('Self-Assessment_Cases'!I431="Implemented","5",IF('Self-Assessment_Cases'!I431="In Progress - Administrative","3",IF('Self-Assessment_Cases'!I431="In Progress - Configuration","3",IF('Self-Assessment_Cases'!I431="In Progress - Installation/Upgrade","3",IF('Self-Assessment_Cases'!I431="Not Implemented - Compensating Control","5",IF('Self-Assessment_Cases'!I431="Not Implemented - Risk Negligible","5",IF('Self-Assessment_Cases'!I431="Not Implemented - Risk Accepted","1",IF('Self-Assessment_Cases'!I431="Not Implemented - Planned","1",IF('Self-Assessment_Cases'!I431="Not Implemented - Unplanned","1",".")))))))))</f>
        <v>.</v>
      </c>
      <c r="G431" s="13" t="s">
        <v>551</v>
      </c>
      <c r="H431" s="10" t="s">
        <v>1247</v>
      </c>
      <c r="I431" s="92"/>
      <c r="J431" s="109"/>
      <c r="K431" s="9"/>
    </row>
    <row r="432" spans="1:11" s="108" customFormat="1" ht="42" x14ac:dyDescent="0.2">
      <c r="A432" s="10" t="s">
        <v>192</v>
      </c>
      <c r="B432" s="9" t="s">
        <v>284</v>
      </c>
      <c r="C432" s="112" t="s">
        <v>246</v>
      </c>
      <c r="D432" s="112" t="s">
        <v>838</v>
      </c>
      <c r="E432" s="10" t="s">
        <v>191</v>
      </c>
      <c r="F432" s="107" t="str">
        <f>IF('Self-Assessment_Cases'!I432="Implemented","5",IF('Self-Assessment_Cases'!I432="In Progress - Administrative","3",IF('Self-Assessment_Cases'!I432="In Progress - Configuration","3",IF('Self-Assessment_Cases'!I432="In Progress - Installation/Upgrade","3",IF('Self-Assessment_Cases'!I432="Not Implemented - Compensating Control","5",IF('Self-Assessment_Cases'!I432="Not Implemented - Risk Negligible","5",IF('Self-Assessment_Cases'!I432="Not Implemented - Risk Accepted","1",IF('Self-Assessment_Cases'!I432="Not Implemented - Planned","1",IF('Self-Assessment_Cases'!I432="Not Implemented - Unplanned","1",".")))))))))</f>
        <v>.</v>
      </c>
      <c r="G432" s="13" t="s">
        <v>550</v>
      </c>
      <c r="H432" s="10" t="s">
        <v>1248</v>
      </c>
      <c r="I432" s="92"/>
      <c r="J432" s="109"/>
      <c r="K432" s="9"/>
    </row>
    <row r="433" spans="1:11" s="108" customFormat="1" ht="56" x14ac:dyDescent="0.2">
      <c r="A433" s="10" t="s">
        <v>192</v>
      </c>
      <c r="B433" s="9" t="s">
        <v>285</v>
      </c>
      <c r="C433" s="112" t="s">
        <v>246</v>
      </c>
      <c r="D433" s="112" t="s">
        <v>909</v>
      </c>
      <c r="E433" s="10" t="s">
        <v>191</v>
      </c>
      <c r="F433" s="107" t="str">
        <f>IF('Self-Assessment_Cases'!I433="Implemented","5",IF('Self-Assessment_Cases'!I433="In Progress - Administrative","3",IF('Self-Assessment_Cases'!I433="In Progress - Configuration","3",IF('Self-Assessment_Cases'!I433="In Progress - Installation/Upgrade","3",IF('Self-Assessment_Cases'!I433="Not Implemented - Compensating Control","5",IF('Self-Assessment_Cases'!I433="Not Implemented - Risk Negligible","5",IF('Self-Assessment_Cases'!I433="Not Implemented - Risk Accepted","1",IF('Self-Assessment_Cases'!I433="Not Implemented - Planned","1",IF('Self-Assessment_Cases'!I433="Not Implemented - Unplanned","1",".")))))))))</f>
        <v>.</v>
      </c>
      <c r="G433" s="13" t="s">
        <v>721</v>
      </c>
      <c r="H433" s="10" t="s">
        <v>1249</v>
      </c>
      <c r="I433" s="92"/>
      <c r="J433" s="109"/>
      <c r="K433" s="9"/>
    </row>
    <row r="434" spans="1:11" s="108" customFormat="1" ht="70" x14ac:dyDescent="0.2">
      <c r="A434" s="10" t="s">
        <v>192</v>
      </c>
      <c r="B434" s="9" t="s">
        <v>285</v>
      </c>
      <c r="C434" s="112" t="s">
        <v>246</v>
      </c>
      <c r="D434" s="112" t="s">
        <v>1006</v>
      </c>
      <c r="E434" s="10" t="s">
        <v>191</v>
      </c>
      <c r="F434" s="107" t="str">
        <f>IF('Self-Assessment_Cases'!I434="Implemented","5",IF('Self-Assessment_Cases'!I434="In Progress - Administrative","3",IF('Self-Assessment_Cases'!I434="In Progress - Configuration","3",IF('Self-Assessment_Cases'!I434="In Progress - Installation/Upgrade","3",IF('Self-Assessment_Cases'!I434="Not Implemented - Compensating Control","5",IF('Self-Assessment_Cases'!I434="Not Implemented - Risk Negligible","5",IF('Self-Assessment_Cases'!I434="Not Implemented - Risk Accepted","1",IF('Self-Assessment_Cases'!I434="Not Implemented - Planned","1",IF('Self-Assessment_Cases'!I434="Not Implemented - Unplanned","1",".")))))))))</f>
        <v>.</v>
      </c>
      <c r="G434" s="13" t="s">
        <v>722</v>
      </c>
      <c r="H434" s="10" t="s">
        <v>1250</v>
      </c>
      <c r="I434" s="92"/>
      <c r="J434" s="109"/>
      <c r="K434" s="9"/>
    </row>
    <row r="435" spans="1:11" s="108" customFormat="1" ht="84" x14ac:dyDescent="0.2">
      <c r="A435" s="10" t="s">
        <v>192</v>
      </c>
      <c r="B435" s="9" t="s">
        <v>285</v>
      </c>
      <c r="C435" s="112" t="s">
        <v>246</v>
      </c>
      <c r="D435" s="112" t="s">
        <v>1033</v>
      </c>
      <c r="E435" s="10" t="s">
        <v>191</v>
      </c>
      <c r="F435" s="107" t="str">
        <f>IF('Self-Assessment_Cases'!I435="Implemented","5",IF('Self-Assessment_Cases'!I435="In Progress - Administrative","3",IF('Self-Assessment_Cases'!I435="In Progress - Configuration","3",IF('Self-Assessment_Cases'!I435="In Progress - Installation/Upgrade","3",IF('Self-Assessment_Cases'!I435="Not Implemented - Compensating Control","5",IF('Self-Assessment_Cases'!I435="Not Implemented - Risk Negligible","5",IF('Self-Assessment_Cases'!I435="Not Implemented - Risk Accepted","1",IF('Self-Assessment_Cases'!I435="Not Implemented - Planned","1",IF('Self-Assessment_Cases'!I435="Not Implemented - Unplanned","1",".")))))))))</f>
        <v>.</v>
      </c>
      <c r="G435" s="13" t="s">
        <v>723</v>
      </c>
      <c r="H435" s="10" t="s">
        <v>1251</v>
      </c>
      <c r="I435" s="92"/>
      <c r="J435" s="109"/>
      <c r="K435" s="9"/>
    </row>
    <row r="436" spans="1:11" s="108" customFormat="1" ht="84" x14ac:dyDescent="0.2">
      <c r="A436" s="10" t="s">
        <v>192</v>
      </c>
      <c r="B436" s="9" t="s">
        <v>285</v>
      </c>
      <c r="C436" s="112" t="s">
        <v>246</v>
      </c>
      <c r="D436" s="112" t="s">
        <v>1058</v>
      </c>
      <c r="E436" s="10" t="s">
        <v>191</v>
      </c>
      <c r="F436" s="107" t="str">
        <f>IF('Self-Assessment_Cases'!I436="Implemented","5",IF('Self-Assessment_Cases'!I436="In Progress - Administrative","3",IF('Self-Assessment_Cases'!I436="In Progress - Configuration","3",IF('Self-Assessment_Cases'!I436="In Progress - Installation/Upgrade","3",IF('Self-Assessment_Cases'!I436="Not Implemented - Compensating Control","5",IF('Self-Assessment_Cases'!I436="Not Implemented - Risk Negligible","5",IF('Self-Assessment_Cases'!I436="Not Implemented - Risk Accepted","1",IF('Self-Assessment_Cases'!I436="Not Implemented - Planned","1",IF('Self-Assessment_Cases'!I436="Not Implemented - Unplanned","1",".")))))))))</f>
        <v>.</v>
      </c>
      <c r="G436" s="13" t="s">
        <v>724</v>
      </c>
      <c r="H436" s="10" t="s">
        <v>1252</v>
      </c>
      <c r="I436" s="92"/>
      <c r="J436" s="109"/>
      <c r="K436" s="9"/>
    </row>
    <row r="437" spans="1:11" s="108" customFormat="1" ht="42" x14ac:dyDescent="0.2">
      <c r="A437" s="10" t="s">
        <v>192</v>
      </c>
      <c r="B437" s="9" t="s">
        <v>285</v>
      </c>
      <c r="C437" s="112" t="s">
        <v>246</v>
      </c>
      <c r="D437" s="112" t="s">
        <v>1078</v>
      </c>
      <c r="E437" s="10" t="s">
        <v>191</v>
      </c>
      <c r="F437" s="107" t="str">
        <f>IF('Self-Assessment_Cases'!I437="Implemented","5",IF('Self-Assessment_Cases'!I437="In Progress - Administrative","3",IF('Self-Assessment_Cases'!I437="In Progress - Configuration","3",IF('Self-Assessment_Cases'!I437="In Progress - Installation/Upgrade","3",IF('Self-Assessment_Cases'!I437="Not Implemented - Compensating Control","5",IF('Self-Assessment_Cases'!I437="Not Implemented - Risk Negligible","5",IF('Self-Assessment_Cases'!I437="Not Implemented - Risk Accepted","1",IF('Self-Assessment_Cases'!I437="Not Implemented - Planned","1",IF('Self-Assessment_Cases'!I437="Not Implemented - Unplanned","1",".")))))))))</f>
        <v>.</v>
      </c>
      <c r="G437" s="9" t="s">
        <v>742</v>
      </c>
      <c r="H437" s="10" t="s">
        <v>743</v>
      </c>
      <c r="I437" s="92"/>
      <c r="J437" s="109"/>
      <c r="K437" s="9"/>
    </row>
    <row r="438" spans="1:11" s="108" customFormat="1" ht="56" x14ac:dyDescent="0.2">
      <c r="A438" s="10" t="s">
        <v>192</v>
      </c>
      <c r="B438" s="9" t="s">
        <v>285</v>
      </c>
      <c r="C438" s="112" t="s">
        <v>246</v>
      </c>
      <c r="D438" s="112" t="s">
        <v>1097</v>
      </c>
      <c r="E438" s="10" t="s">
        <v>191</v>
      </c>
      <c r="F438" s="107" t="str">
        <f>IF('Self-Assessment_Cases'!I438="Implemented","5",IF('Self-Assessment_Cases'!I438="In Progress - Administrative","3",IF('Self-Assessment_Cases'!I438="In Progress - Configuration","3",IF('Self-Assessment_Cases'!I438="In Progress - Installation/Upgrade","3",IF('Self-Assessment_Cases'!I438="Not Implemented - Compensating Control","5",IF('Self-Assessment_Cases'!I438="Not Implemented - Risk Negligible","5",IF('Self-Assessment_Cases'!I438="Not Implemented - Risk Accepted","1",IF('Self-Assessment_Cases'!I438="Not Implemented - Planned","1",IF('Self-Assessment_Cases'!I438="Not Implemented - Unplanned","1",".")))))))))</f>
        <v>.</v>
      </c>
      <c r="G438" s="9" t="s">
        <v>725</v>
      </c>
      <c r="H438" s="10" t="s">
        <v>1421</v>
      </c>
      <c r="I438" s="92"/>
      <c r="J438" s="109"/>
      <c r="K438" s="9"/>
    </row>
    <row r="439" spans="1:11" s="108" customFormat="1" ht="56" x14ac:dyDescent="0.2">
      <c r="A439" s="10" t="s">
        <v>192</v>
      </c>
      <c r="B439" s="9" t="s">
        <v>285</v>
      </c>
      <c r="C439" s="112" t="s">
        <v>246</v>
      </c>
      <c r="D439" s="112" t="s">
        <v>657</v>
      </c>
      <c r="E439" s="10" t="s">
        <v>191</v>
      </c>
      <c r="F439" s="107" t="str">
        <f>IF('Self-Assessment_Cases'!I439="Implemented","5",IF('Self-Assessment_Cases'!I439="In Progress - Administrative","3",IF('Self-Assessment_Cases'!I439="In Progress - Configuration","3",IF('Self-Assessment_Cases'!I439="In Progress - Installation/Upgrade","3",IF('Self-Assessment_Cases'!I439="Not Implemented - Compensating Control","5",IF('Self-Assessment_Cases'!I439="Not Implemented - Risk Negligible","5",IF('Self-Assessment_Cases'!I439="Not Implemented - Risk Accepted","1",IF('Self-Assessment_Cases'!I439="Not Implemented - Planned","1",IF('Self-Assessment_Cases'!I439="Not Implemented - Unplanned","1",".")))))))))</f>
        <v>.</v>
      </c>
      <c r="G439" s="9" t="s">
        <v>1420</v>
      </c>
      <c r="H439" s="10" t="s">
        <v>1250</v>
      </c>
      <c r="I439" s="92"/>
      <c r="J439" s="109"/>
      <c r="K439" s="9"/>
    </row>
    <row r="440" spans="1:11" s="5" customFormat="1" ht="56" x14ac:dyDescent="0.2">
      <c r="A440" s="4" t="s">
        <v>265</v>
      </c>
      <c r="B440" s="9"/>
      <c r="C440" s="89" t="s">
        <v>246</v>
      </c>
      <c r="D440" s="88" t="s">
        <v>1214</v>
      </c>
      <c r="E440" s="4" t="s">
        <v>229</v>
      </c>
      <c r="F440" s="8" t="str">
        <f>IF('Self-Assessment_Cases'!I440="Implemented","5",IF('Self-Assessment_Cases'!I440="In Progress - Administrative","3",IF('Self-Assessment_Cases'!I440="In Progress - Configuration","3",IF('Self-Assessment_Cases'!I440="In Progress - Installation/Upgrade","3",IF('Self-Assessment_Cases'!I440="Not Implemented - Compensating Control","5",IF('Self-Assessment_Cases'!I440="Not Implemented - Risk Negligible","5",IF('Self-Assessment_Cases'!I440="Not Implemented - Risk Accepted","1",IF('Self-Assessment_Cases'!I440="Not Implemented - Planned","1",IF('Self-Assessment_Cases'!I440="Not Implemented - Unplanned","1",".")))))))))</f>
        <v>.</v>
      </c>
      <c r="G440" s="9" t="s">
        <v>363</v>
      </c>
      <c r="H440" s="14"/>
      <c r="I440" s="92"/>
      <c r="J440" s="93"/>
      <c r="K440" s="85"/>
    </row>
    <row r="441" spans="1:11" s="3" customFormat="1" ht="48.75" customHeight="1" x14ac:dyDescent="0.2">
      <c r="A441" s="4" t="s">
        <v>256</v>
      </c>
      <c r="B441" s="9"/>
      <c r="C441" s="89" t="s">
        <v>247</v>
      </c>
      <c r="D441" s="88" t="s">
        <v>1215</v>
      </c>
      <c r="E441" s="4" t="s">
        <v>230</v>
      </c>
      <c r="F441" s="8" t="str">
        <f>IF('Self-Assessment_Cases'!I441="Implemented","5",IF('Self-Assessment_Cases'!I441="In Progress - Administrative","3",IF('Self-Assessment_Cases'!I441="In Progress - Configuration","3",IF('Self-Assessment_Cases'!I441="In Progress - Installation/Upgrade","3",IF('Self-Assessment_Cases'!I441="Not Implemented - Compensating Control","5",IF('Self-Assessment_Cases'!I441="Not Implemented - Risk Negligible","5",IF('Self-Assessment_Cases'!I441="Not Implemented - Risk Accepted","1",IF('Self-Assessment_Cases'!I441="Not Implemented - Planned","1",IF('Self-Assessment_Cases'!I441="Not Implemented - Unplanned","1",".")))))))))</f>
        <v>.</v>
      </c>
      <c r="G441" s="9" t="s">
        <v>371</v>
      </c>
      <c r="H441" s="14"/>
      <c r="I441" s="92"/>
      <c r="J441" s="14"/>
      <c r="K441" s="9"/>
    </row>
    <row r="442" spans="1:11" s="108" customFormat="1" ht="135.75" customHeight="1" x14ac:dyDescent="0.2">
      <c r="A442" s="10" t="s">
        <v>266</v>
      </c>
      <c r="B442" s="9"/>
      <c r="C442" s="112" t="s">
        <v>246</v>
      </c>
      <c r="D442" s="113" t="s">
        <v>1216</v>
      </c>
      <c r="E442" s="10" t="s">
        <v>231</v>
      </c>
      <c r="F442" s="107" t="str">
        <f>IF('Self-Assessment_Cases'!I442="Implemented","5",IF('Self-Assessment_Cases'!I442="In Progress - Administrative","3",IF('Self-Assessment_Cases'!I442="In Progress - Configuration","3",IF('Self-Assessment_Cases'!I442="In Progress - Installation/Upgrade","3",IF('Self-Assessment_Cases'!I442="Not Implemented - Compensating Control","5",IF('Self-Assessment_Cases'!I442="Not Implemented - Risk Negligible","5",IF('Self-Assessment_Cases'!I442="Not Implemented - Risk Accepted","1",IF('Self-Assessment_Cases'!I442="Not Implemented - Planned","1",IF('Self-Assessment_Cases'!I442="Not Implemented - Unplanned","1",".")))))))))</f>
        <v>.</v>
      </c>
      <c r="G442" s="9" t="s">
        <v>552</v>
      </c>
      <c r="H442" s="10" t="s">
        <v>1253</v>
      </c>
      <c r="I442" s="92"/>
      <c r="J442" s="109"/>
      <c r="K442" s="9"/>
    </row>
    <row r="443" spans="1:11" s="3" customFormat="1" ht="70" x14ac:dyDescent="0.2">
      <c r="A443" s="4" t="s">
        <v>266</v>
      </c>
      <c r="B443" s="9"/>
      <c r="C443" s="89" t="s">
        <v>246</v>
      </c>
      <c r="D443" s="88" t="s">
        <v>839</v>
      </c>
      <c r="E443" s="4" t="s">
        <v>231</v>
      </c>
      <c r="F443" s="8" t="str">
        <f>IF('Self-Assessment_Cases'!I443="Implemented","5",IF('Self-Assessment_Cases'!I443="In Progress - Administrative","3",IF('Self-Assessment_Cases'!I443="In Progress - Configuration","3",IF('Self-Assessment_Cases'!I443="In Progress - Installation/Upgrade","3",IF('Self-Assessment_Cases'!I443="Not Implemented - Compensating Control","5",IF('Self-Assessment_Cases'!I443="Not Implemented - Risk Negligible","5",IF('Self-Assessment_Cases'!I443="Not Implemented - Risk Accepted","1",IF('Self-Assessment_Cases'!I443="Not Implemented - Planned","1",IF('Self-Assessment_Cases'!I443="Not Implemented - Unplanned","1",".")))))))))</f>
        <v>.</v>
      </c>
      <c r="G443" s="9" t="s">
        <v>553</v>
      </c>
      <c r="H443" s="14"/>
      <c r="I443" s="92"/>
      <c r="J443" s="93"/>
      <c r="K443" s="85"/>
    </row>
    <row r="444" spans="1:11" s="3" customFormat="1" ht="84" x14ac:dyDescent="0.2">
      <c r="A444" s="4" t="s">
        <v>266</v>
      </c>
      <c r="B444" s="9"/>
      <c r="C444" s="89" t="s">
        <v>246</v>
      </c>
      <c r="D444" s="88" t="s">
        <v>910</v>
      </c>
      <c r="E444" s="4" t="s">
        <v>231</v>
      </c>
      <c r="F444" s="8" t="str">
        <f>IF('Self-Assessment_Cases'!I444="Implemented","5",IF('Self-Assessment_Cases'!I444="In Progress - Administrative","3",IF('Self-Assessment_Cases'!I444="In Progress - Configuration","3",IF('Self-Assessment_Cases'!I444="In Progress - Installation/Upgrade","3",IF('Self-Assessment_Cases'!I444="Not Implemented - Compensating Control","5",IF('Self-Assessment_Cases'!I444="Not Implemented - Risk Negligible","5",IF('Self-Assessment_Cases'!I444="Not Implemented - Risk Accepted","1",IF('Self-Assessment_Cases'!I444="Not Implemented - Planned","1",IF('Self-Assessment_Cases'!I444="Not Implemented - Unplanned","1",".")))))))))</f>
        <v>.</v>
      </c>
      <c r="G444" s="9" t="s">
        <v>554</v>
      </c>
      <c r="H444" s="14"/>
      <c r="I444" s="92"/>
      <c r="J444" s="93"/>
      <c r="K444" s="85"/>
    </row>
    <row r="445" spans="1:11" s="3" customFormat="1" ht="84" x14ac:dyDescent="0.2">
      <c r="A445" s="4" t="s">
        <v>266</v>
      </c>
      <c r="B445" s="9"/>
      <c r="C445" s="89" t="s">
        <v>246</v>
      </c>
      <c r="D445" s="88" t="s">
        <v>967</v>
      </c>
      <c r="E445" s="4" t="s">
        <v>231</v>
      </c>
      <c r="F445" s="8" t="str">
        <f>IF('Self-Assessment_Cases'!I445="Implemented","5",IF('Self-Assessment_Cases'!I445="In Progress - Administrative","3",IF('Self-Assessment_Cases'!I445="In Progress - Configuration","3",IF('Self-Assessment_Cases'!I445="In Progress - Installation/Upgrade","3",IF('Self-Assessment_Cases'!I445="Not Implemented - Compensating Control","5",IF('Self-Assessment_Cases'!I445="Not Implemented - Risk Negligible","5",IF('Self-Assessment_Cases'!I445="Not Implemented - Risk Accepted","1",IF('Self-Assessment_Cases'!I445="Not Implemented - Planned","1",IF('Self-Assessment_Cases'!I445="Not Implemented - Unplanned","1",".")))))))))</f>
        <v>.</v>
      </c>
      <c r="G445" s="13" t="s">
        <v>555</v>
      </c>
      <c r="H445" s="14"/>
      <c r="I445" s="92"/>
      <c r="J445" s="93"/>
      <c r="K445" s="85"/>
    </row>
    <row r="446" spans="1:11" s="3" customFormat="1" ht="84" x14ac:dyDescent="0.2">
      <c r="A446" s="4" t="s">
        <v>266</v>
      </c>
      <c r="B446" s="9"/>
      <c r="C446" s="89" t="s">
        <v>246</v>
      </c>
      <c r="D446" s="88" t="s">
        <v>1007</v>
      </c>
      <c r="E446" s="4" t="s">
        <v>231</v>
      </c>
      <c r="F446" s="8" t="str">
        <f>IF('Self-Assessment_Cases'!I446="Implemented","5",IF('Self-Assessment_Cases'!I446="In Progress - Administrative","3",IF('Self-Assessment_Cases'!I446="In Progress - Configuration","3",IF('Self-Assessment_Cases'!I446="In Progress - Installation/Upgrade","3",IF('Self-Assessment_Cases'!I446="Not Implemented - Compensating Control","5",IF('Self-Assessment_Cases'!I446="Not Implemented - Risk Negligible","5",IF('Self-Assessment_Cases'!I446="Not Implemented - Risk Accepted","1",IF('Self-Assessment_Cases'!I446="Not Implemented - Planned","1",IF('Self-Assessment_Cases'!I446="Not Implemented - Unplanned","1",".")))))))))</f>
        <v>.</v>
      </c>
      <c r="G446" s="13" t="s">
        <v>556</v>
      </c>
      <c r="H446" s="14"/>
      <c r="I446" s="92"/>
      <c r="J446" s="93"/>
      <c r="K446" s="85"/>
    </row>
    <row r="447" spans="1:11" s="3" customFormat="1" ht="84" x14ac:dyDescent="0.2">
      <c r="A447" s="4" t="s">
        <v>267</v>
      </c>
      <c r="B447" s="9"/>
      <c r="C447" s="89" t="s">
        <v>246</v>
      </c>
      <c r="D447" s="88" t="s">
        <v>1217</v>
      </c>
      <c r="E447" s="4" t="s">
        <v>232</v>
      </c>
      <c r="F447" s="8" t="str">
        <f>IF('Self-Assessment_Cases'!I447="Implemented","5",IF('Self-Assessment_Cases'!I447="In Progress - Administrative","3",IF('Self-Assessment_Cases'!I447="In Progress - Configuration","3",IF('Self-Assessment_Cases'!I447="In Progress - Installation/Upgrade","3",IF('Self-Assessment_Cases'!I447="Not Implemented - Compensating Control","5",IF('Self-Assessment_Cases'!I447="Not Implemented - Risk Negligible","5",IF('Self-Assessment_Cases'!I447="Not Implemented - Risk Accepted","1",IF('Self-Assessment_Cases'!I447="Not Implemented - Planned","1",IF('Self-Assessment_Cases'!I447="Not Implemented - Unplanned","1",".")))))))))</f>
        <v>.</v>
      </c>
      <c r="G447" s="13" t="s">
        <v>557</v>
      </c>
      <c r="H447" s="14"/>
      <c r="I447" s="92"/>
      <c r="J447" s="93"/>
      <c r="K447" s="85"/>
    </row>
    <row r="448" spans="1:11" s="6" customFormat="1" ht="84" x14ac:dyDescent="0.2">
      <c r="A448" s="4" t="s">
        <v>267</v>
      </c>
      <c r="B448" s="9"/>
      <c r="C448" s="89" t="s">
        <v>246</v>
      </c>
      <c r="D448" s="88" t="s">
        <v>840</v>
      </c>
      <c r="E448" s="4" t="s">
        <v>232</v>
      </c>
      <c r="F448" s="8" t="str">
        <f>IF('Self-Assessment_Cases'!I448="Implemented","5",IF('Self-Assessment_Cases'!I448="In Progress - Administrative","3",IF('Self-Assessment_Cases'!I448="In Progress - Configuration","3",IF('Self-Assessment_Cases'!I448="In Progress - Installation/Upgrade","3",IF('Self-Assessment_Cases'!I448="Not Implemented - Compensating Control","5",IF('Self-Assessment_Cases'!I448="Not Implemented - Risk Negligible","5",IF('Self-Assessment_Cases'!I448="Not Implemented - Risk Accepted","1",IF('Self-Assessment_Cases'!I448="Not Implemented - Planned","1",IF('Self-Assessment_Cases'!I448="Not Implemented - Unplanned","1",".")))))))))</f>
        <v>.</v>
      </c>
      <c r="G448" s="9" t="s">
        <v>558</v>
      </c>
      <c r="H448" s="14"/>
      <c r="I448" s="92"/>
      <c r="J448" s="93"/>
      <c r="K448" s="85"/>
    </row>
    <row r="449" spans="1:11" s="6" customFormat="1" ht="84" x14ac:dyDescent="0.2">
      <c r="A449" s="4" t="s">
        <v>267</v>
      </c>
      <c r="B449" s="9"/>
      <c r="C449" s="89" t="s">
        <v>246</v>
      </c>
      <c r="D449" s="88" t="s">
        <v>911</v>
      </c>
      <c r="E449" s="4" t="s">
        <v>232</v>
      </c>
      <c r="F449" s="8" t="str">
        <f>IF('Self-Assessment_Cases'!I449="Implemented","5",IF('Self-Assessment_Cases'!I449="In Progress - Administrative","3",IF('Self-Assessment_Cases'!I449="In Progress - Configuration","3",IF('Self-Assessment_Cases'!I449="In Progress - Installation/Upgrade","3",IF('Self-Assessment_Cases'!I449="Not Implemented - Compensating Control","5",IF('Self-Assessment_Cases'!I449="Not Implemented - Risk Negligible","5",IF('Self-Assessment_Cases'!I449="Not Implemented - Risk Accepted","1",IF('Self-Assessment_Cases'!I449="Not Implemented - Planned","1",IF('Self-Assessment_Cases'!I449="Not Implemented - Unplanned","1",".")))))))))</f>
        <v>.</v>
      </c>
      <c r="G449" s="9" t="s">
        <v>559</v>
      </c>
      <c r="H449" s="14"/>
      <c r="I449" s="92"/>
      <c r="J449" s="93"/>
      <c r="K449" s="85"/>
    </row>
    <row r="450" spans="1:11" s="3" customFormat="1" ht="42" x14ac:dyDescent="0.2">
      <c r="A450" s="4" t="s">
        <v>180</v>
      </c>
      <c r="B450" s="9" t="s">
        <v>286</v>
      </c>
      <c r="C450" s="89" t="s">
        <v>247</v>
      </c>
      <c r="D450" s="89" t="s">
        <v>1218</v>
      </c>
      <c r="E450" s="4" t="s">
        <v>179</v>
      </c>
      <c r="F450" s="8" t="str">
        <f>IF('Self-Assessment_Cases'!I450="Implemented","5",IF('Self-Assessment_Cases'!I450="In Progress - Administrative","3",IF('Self-Assessment_Cases'!I450="In Progress - Configuration","3",IF('Self-Assessment_Cases'!I450="In Progress - Installation/Upgrade","3",IF('Self-Assessment_Cases'!I450="Not Implemented - Compensating Control","5",IF('Self-Assessment_Cases'!I450="Not Implemented - Risk Negligible","5",IF('Self-Assessment_Cases'!I450="Not Implemented - Risk Accepted","1",IF('Self-Assessment_Cases'!I450="Not Implemented - Planned","1",IF('Self-Assessment_Cases'!I450="Not Implemented - Unplanned","1",".")))))))))</f>
        <v>.</v>
      </c>
      <c r="G450" s="13" t="s">
        <v>581</v>
      </c>
      <c r="H450" s="14"/>
      <c r="I450" s="92"/>
      <c r="J450" s="14"/>
      <c r="K450" s="9"/>
    </row>
    <row r="451" spans="1:11" s="3" customFormat="1" ht="28" x14ac:dyDescent="0.2">
      <c r="A451" s="4" t="s">
        <v>180</v>
      </c>
      <c r="B451" s="9" t="s">
        <v>286</v>
      </c>
      <c r="C451" s="89" t="s">
        <v>247</v>
      </c>
      <c r="D451" s="89" t="s">
        <v>841</v>
      </c>
      <c r="E451" s="4" t="s">
        <v>179</v>
      </c>
      <c r="F451" s="8" t="str">
        <f>IF('Self-Assessment_Cases'!I451="Implemented","5",IF('Self-Assessment_Cases'!I451="In Progress - Administrative","3",IF('Self-Assessment_Cases'!I451="In Progress - Configuration","3",IF('Self-Assessment_Cases'!I451="In Progress - Installation/Upgrade","3",IF('Self-Assessment_Cases'!I451="Not Implemented - Compensating Control","5",IF('Self-Assessment_Cases'!I451="Not Implemented - Risk Negligible","5",IF('Self-Assessment_Cases'!I451="Not Implemented - Risk Accepted","1",IF('Self-Assessment_Cases'!I451="Not Implemented - Planned","1",IF('Self-Assessment_Cases'!I451="Not Implemented - Unplanned","1",".")))))))))</f>
        <v>.</v>
      </c>
      <c r="G451" s="13" t="s">
        <v>726</v>
      </c>
      <c r="H451" s="14"/>
      <c r="I451" s="92"/>
      <c r="J451" s="14"/>
      <c r="K451" s="9"/>
    </row>
    <row r="452" spans="1:11" s="3" customFormat="1" ht="42" x14ac:dyDescent="0.2">
      <c r="A452" s="4" t="s">
        <v>182</v>
      </c>
      <c r="B452" s="9" t="s">
        <v>287</v>
      </c>
      <c r="C452" s="89" t="s">
        <v>247</v>
      </c>
      <c r="D452" s="89" t="s">
        <v>1219</v>
      </c>
      <c r="E452" s="4" t="s">
        <v>181</v>
      </c>
      <c r="F452" s="8" t="str">
        <f>IF('Self-Assessment_Cases'!I452="Implemented","5",IF('Self-Assessment_Cases'!I452="In Progress - Administrative","3",IF('Self-Assessment_Cases'!I452="In Progress - Configuration","3",IF('Self-Assessment_Cases'!I452="In Progress - Installation/Upgrade","3",IF('Self-Assessment_Cases'!I452="Not Implemented - Compensating Control","5",IF('Self-Assessment_Cases'!I452="Not Implemented - Risk Negligible","5",IF('Self-Assessment_Cases'!I452="Not Implemented - Risk Accepted","1",IF('Self-Assessment_Cases'!I452="Not Implemented - Planned","1",IF('Self-Assessment_Cases'!I452="Not Implemented - Unplanned","1",".")))))))))</f>
        <v>.</v>
      </c>
      <c r="G452" s="13" t="s">
        <v>599</v>
      </c>
      <c r="H452" s="14"/>
      <c r="I452" s="92"/>
      <c r="J452" s="14"/>
      <c r="K452" s="9"/>
    </row>
    <row r="453" spans="1:11" s="6" customFormat="1" ht="42" x14ac:dyDescent="0.2">
      <c r="A453" s="4" t="s">
        <v>182</v>
      </c>
      <c r="B453" s="9" t="s">
        <v>287</v>
      </c>
      <c r="C453" s="89" t="s">
        <v>247</v>
      </c>
      <c r="D453" s="89" t="s">
        <v>842</v>
      </c>
      <c r="E453" s="4" t="s">
        <v>181</v>
      </c>
      <c r="F453" s="8" t="str">
        <f>IF('Self-Assessment_Cases'!I453="Implemented","5",IF('Self-Assessment_Cases'!I453="In Progress - Administrative","3",IF('Self-Assessment_Cases'!I453="In Progress - Configuration","3",IF('Self-Assessment_Cases'!I453="In Progress - Installation/Upgrade","3",IF('Self-Assessment_Cases'!I453="Not Implemented - Compensating Control","5",IF('Self-Assessment_Cases'!I453="Not Implemented - Risk Negligible","5",IF('Self-Assessment_Cases'!I453="Not Implemented - Risk Accepted","1",IF('Self-Assessment_Cases'!I453="Not Implemented - Planned","1",IF('Self-Assessment_Cases'!I453="Not Implemented - Unplanned","1",".")))))))))</f>
        <v>.</v>
      </c>
      <c r="G453" s="13" t="s">
        <v>600</v>
      </c>
      <c r="H453" s="14"/>
      <c r="I453" s="92"/>
      <c r="J453" s="14"/>
      <c r="K453" s="9"/>
    </row>
    <row r="454" spans="1:11" s="6" customFormat="1" ht="126" x14ac:dyDescent="0.2">
      <c r="A454" s="4" t="s">
        <v>182</v>
      </c>
      <c r="B454" s="9" t="s">
        <v>287</v>
      </c>
      <c r="C454" s="89" t="s">
        <v>247</v>
      </c>
      <c r="D454" s="89" t="s">
        <v>912</v>
      </c>
      <c r="E454" s="4" t="s">
        <v>181</v>
      </c>
      <c r="F454" s="8" t="str">
        <f>IF('Self-Assessment_Cases'!I454="Implemented","5",IF('Self-Assessment_Cases'!I454="In Progress - Administrative","3",IF('Self-Assessment_Cases'!I454="In Progress - Configuration","3",IF('Self-Assessment_Cases'!I454="In Progress - Installation/Upgrade","3",IF('Self-Assessment_Cases'!I454="Not Implemented - Compensating Control","5",IF('Self-Assessment_Cases'!I454="Not Implemented - Risk Negligible","5",IF('Self-Assessment_Cases'!I454="Not Implemented - Risk Accepted","1",IF('Self-Assessment_Cases'!I454="Not Implemented - Planned","1",IF('Self-Assessment_Cases'!I454="Not Implemented - Unplanned","1",".")))))))))</f>
        <v>.</v>
      </c>
      <c r="G454" s="13" t="s">
        <v>739</v>
      </c>
      <c r="H454" s="14" t="s">
        <v>701</v>
      </c>
      <c r="I454" s="92"/>
      <c r="J454" s="14"/>
      <c r="K454" s="9"/>
    </row>
    <row r="455" spans="1:11" s="6" customFormat="1" ht="42" x14ac:dyDescent="0.2">
      <c r="A455" s="4" t="s">
        <v>184</v>
      </c>
      <c r="B455" s="9" t="s">
        <v>288</v>
      </c>
      <c r="C455" s="89" t="s">
        <v>247</v>
      </c>
      <c r="D455" s="89" t="s">
        <v>1220</v>
      </c>
      <c r="E455" s="4" t="s">
        <v>183</v>
      </c>
      <c r="F455" s="8" t="str">
        <f>IF('Self-Assessment_Cases'!I455="Implemented","5",IF('Self-Assessment_Cases'!I455="In Progress - Administrative","3",IF('Self-Assessment_Cases'!I455="In Progress - Configuration","3",IF('Self-Assessment_Cases'!I455="In Progress - Installation/Upgrade","3",IF('Self-Assessment_Cases'!I455="Not Implemented - Compensating Control","5",IF('Self-Assessment_Cases'!I455="Not Implemented - Risk Negligible","5",IF('Self-Assessment_Cases'!I455="Not Implemented - Risk Accepted","1",IF('Self-Assessment_Cases'!I455="Not Implemented - Planned","1",IF('Self-Assessment_Cases'!I455="Not Implemented - Unplanned","1",".")))))))))</f>
        <v>.</v>
      </c>
      <c r="G455" s="13" t="s">
        <v>601</v>
      </c>
      <c r="H455" s="14"/>
      <c r="I455" s="92"/>
      <c r="J455" s="14"/>
      <c r="K455" s="9"/>
    </row>
    <row r="456" spans="1:11" s="6" customFormat="1" ht="28" x14ac:dyDescent="0.2">
      <c r="A456" s="4" t="s">
        <v>184</v>
      </c>
      <c r="B456" s="9" t="s">
        <v>288</v>
      </c>
      <c r="C456" s="89" t="s">
        <v>247</v>
      </c>
      <c r="D456" s="89" t="s">
        <v>843</v>
      </c>
      <c r="E456" s="4" t="s">
        <v>183</v>
      </c>
      <c r="F456" s="8" t="str">
        <f>IF('Self-Assessment_Cases'!I456="Implemented","5",IF('Self-Assessment_Cases'!I456="In Progress - Administrative","3",IF('Self-Assessment_Cases'!I456="In Progress - Configuration","3",IF('Self-Assessment_Cases'!I456="In Progress - Installation/Upgrade","3",IF('Self-Assessment_Cases'!I456="Not Implemented - Compensating Control","5",IF('Self-Assessment_Cases'!I456="Not Implemented - Risk Negligible","5",IF('Self-Assessment_Cases'!I456="Not Implemented - Risk Accepted","1",IF('Self-Assessment_Cases'!I456="Not Implemented - Planned","1",IF('Self-Assessment_Cases'!I456="Not Implemented - Unplanned","1",".")))))))))</f>
        <v>.</v>
      </c>
      <c r="G456" s="9" t="s">
        <v>602</v>
      </c>
      <c r="H456" s="14"/>
      <c r="I456" s="92"/>
      <c r="J456" s="14"/>
      <c r="K456" s="9"/>
    </row>
    <row r="457" spans="1:11" s="6" customFormat="1" ht="28" x14ac:dyDescent="0.2">
      <c r="A457" s="4" t="s">
        <v>184</v>
      </c>
      <c r="B457" s="9" t="s">
        <v>288</v>
      </c>
      <c r="C457" s="89" t="s">
        <v>247</v>
      </c>
      <c r="D457" s="89" t="s">
        <v>913</v>
      </c>
      <c r="E457" s="4" t="s">
        <v>183</v>
      </c>
      <c r="F457" s="8" t="str">
        <f>IF('Self-Assessment_Cases'!I457="Implemented","5",IF('Self-Assessment_Cases'!I457="In Progress - Administrative","3",IF('Self-Assessment_Cases'!I457="In Progress - Configuration","3",IF('Self-Assessment_Cases'!I457="In Progress - Installation/Upgrade","3",IF('Self-Assessment_Cases'!I457="Not Implemented - Compensating Control","5",IF('Self-Assessment_Cases'!I457="Not Implemented - Risk Negligible","5",IF('Self-Assessment_Cases'!I457="Not Implemented - Risk Accepted","1",IF('Self-Assessment_Cases'!I457="Not Implemented - Planned","1",IF('Self-Assessment_Cases'!I457="Not Implemented - Unplanned","1",".")))))))))</f>
        <v>.</v>
      </c>
      <c r="G457" s="9" t="s">
        <v>603</v>
      </c>
      <c r="H457" s="14"/>
      <c r="I457" s="92"/>
      <c r="J457" s="14"/>
      <c r="K457" s="9"/>
    </row>
    <row r="458" spans="1:11" s="6" customFormat="1" ht="56" x14ac:dyDescent="0.2">
      <c r="A458" s="4" t="s">
        <v>184</v>
      </c>
      <c r="B458" s="9" t="s">
        <v>288</v>
      </c>
      <c r="C458" s="89" t="s">
        <v>247</v>
      </c>
      <c r="D458" s="89" t="s">
        <v>968</v>
      </c>
      <c r="E458" s="4" t="s">
        <v>183</v>
      </c>
      <c r="F458" s="8" t="str">
        <f>IF('Self-Assessment_Cases'!I458="Implemented","5",IF('Self-Assessment_Cases'!I458="In Progress - Administrative","3",IF('Self-Assessment_Cases'!I458="In Progress - Configuration","3",IF('Self-Assessment_Cases'!I458="In Progress - Installation/Upgrade","3",IF('Self-Assessment_Cases'!I458="Not Implemented - Compensating Control","5",IF('Self-Assessment_Cases'!I458="Not Implemented - Risk Negligible","5",IF('Self-Assessment_Cases'!I458="Not Implemented - Risk Accepted","1",IF('Self-Assessment_Cases'!I458="Not Implemented - Planned","1",IF('Self-Assessment_Cases'!I458="Not Implemented - Unplanned","1",".")))))))))</f>
        <v>.</v>
      </c>
      <c r="G458" s="13" t="s">
        <v>604</v>
      </c>
      <c r="H458" s="14"/>
      <c r="I458" s="92"/>
      <c r="J458" s="14"/>
      <c r="K458" s="9"/>
    </row>
    <row r="459" spans="1:11" s="3" customFormat="1" ht="154" x14ac:dyDescent="0.2">
      <c r="A459" s="4" t="s">
        <v>186</v>
      </c>
      <c r="B459" s="9" t="s">
        <v>281</v>
      </c>
      <c r="C459" s="89" t="s">
        <v>246</v>
      </c>
      <c r="D459" s="89" t="s">
        <v>1221</v>
      </c>
      <c r="E459" s="4" t="s">
        <v>185</v>
      </c>
      <c r="F459" s="8" t="str">
        <f>IF('Self-Assessment_Cases'!I459="Implemented","5",IF('Self-Assessment_Cases'!I459="In Progress - Administrative","3",IF('Self-Assessment_Cases'!I459="In Progress - Configuration","3",IF('Self-Assessment_Cases'!I459="In Progress - Installation/Upgrade","3",IF('Self-Assessment_Cases'!I459="Not Implemented - Compensating Control","5",IF('Self-Assessment_Cases'!I459="Not Implemented - Risk Negligible","5",IF('Self-Assessment_Cases'!I459="Not Implemented - Risk Accepted","1",IF('Self-Assessment_Cases'!I459="Not Implemented - Planned","1",IF('Self-Assessment_Cases'!I459="Not Implemented - Unplanned","1",".")))))))))</f>
        <v>.</v>
      </c>
      <c r="G459" s="13" t="s">
        <v>382</v>
      </c>
      <c r="H459" s="14"/>
      <c r="I459" s="92"/>
      <c r="J459" s="93"/>
      <c r="K459" s="85"/>
    </row>
    <row r="460" spans="1:11" s="3" customFormat="1" ht="378" x14ac:dyDescent="0.2">
      <c r="A460" s="4" t="s">
        <v>188</v>
      </c>
      <c r="B460" s="9" t="s">
        <v>282</v>
      </c>
      <c r="C460" s="89" t="s">
        <v>246</v>
      </c>
      <c r="D460" s="89" t="s">
        <v>1222</v>
      </c>
      <c r="E460" s="4" t="s">
        <v>187</v>
      </c>
      <c r="F460" s="8" t="str">
        <f>IF('Self-Assessment_Cases'!I460="Implemented","5",IF('Self-Assessment_Cases'!I460="In Progress - Administrative","3",IF('Self-Assessment_Cases'!I460="In Progress - Configuration","3",IF('Self-Assessment_Cases'!I460="In Progress - Installation/Upgrade","3",IF('Self-Assessment_Cases'!I460="Not Implemented - Compensating Control","5",IF('Self-Assessment_Cases'!I460="Not Implemented - Risk Negligible","5",IF('Self-Assessment_Cases'!I460="Not Implemented - Risk Accepted","1",IF('Self-Assessment_Cases'!I460="Not Implemented - Planned","1",IF('Self-Assessment_Cases'!I460="Not Implemented - Unplanned","1",".")))))))))</f>
        <v>.</v>
      </c>
      <c r="G460" s="13" t="s">
        <v>738</v>
      </c>
      <c r="H460" s="14" t="s">
        <v>685</v>
      </c>
      <c r="I460" s="92"/>
      <c r="J460" s="93"/>
      <c r="K460" s="85"/>
    </row>
    <row r="461" spans="1:11" s="3" customFormat="1" ht="56" x14ac:dyDescent="0.2">
      <c r="A461" s="4" t="s">
        <v>188</v>
      </c>
      <c r="B461" s="9" t="s">
        <v>282</v>
      </c>
      <c r="C461" s="89" t="s">
        <v>246</v>
      </c>
      <c r="D461" s="89" t="s">
        <v>844</v>
      </c>
      <c r="E461" s="4" t="s">
        <v>187</v>
      </c>
      <c r="F461" s="8" t="str">
        <f>IF('Self-Assessment_Cases'!I461="Implemented","5",IF('Self-Assessment_Cases'!I461="In Progress - Administrative","3",IF('Self-Assessment_Cases'!I461="In Progress - Configuration","3",IF('Self-Assessment_Cases'!I461="In Progress - Installation/Upgrade","3",IF('Self-Assessment_Cases'!I461="Not Implemented - Compensating Control","5",IF('Self-Assessment_Cases'!I461="Not Implemented - Risk Negligible","5",IF('Self-Assessment_Cases'!I461="Not Implemented - Risk Accepted","1",IF('Self-Assessment_Cases'!I461="Not Implemented - Planned","1",IF('Self-Assessment_Cases'!I461="Not Implemented - Unplanned","1",".")))))))))</f>
        <v>.</v>
      </c>
      <c r="G461" s="13" t="s">
        <v>546</v>
      </c>
      <c r="H461" s="14"/>
      <c r="I461" s="92"/>
      <c r="J461" s="93"/>
      <c r="K461" s="85"/>
    </row>
    <row r="462" spans="1:11" s="3" customFormat="1" ht="56" x14ac:dyDescent="0.2">
      <c r="A462" s="4" t="s">
        <v>188</v>
      </c>
      <c r="B462" s="9" t="s">
        <v>282</v>
      </c>
      <c r="C462" s="89" t="s">
        <v>246</v>
      </c>
      <c r="D462" s="89" t="s">
        <v>914</v>
      </c>
      <c r="E462" s="4" t="s">
        <v>187</v>
      </c>
      <c r="F462" s="8" t="str">
        <f>IF('Self-Assessment_Cases'!I462="Implemented","5",IF('Self-Assessment_Cases'!I462="In Progress - Administrative","3",IF('Self-Assessment_Cases'!I462="In Progress - Configuration","3",IF('Self-Assessment_Cases'!I462="In Progress - Installation/Upgrade","3",IF('Self-Assessment_Cases'!I462="Not Implemented - Compensating Control","5",IF('Self-Assessment_Cases'!I462="Not Implemented - Risk Negligible","5",IF('Self-Assessment_Cases'!I462="Not Implemented - Risk Accepted","1",IF('Self-Assessment_Cases'!I462="Not Implemented - Planned","1",IF('Self-Assessment_Cases'!I462="Not Implemented - Unplanned","1",".")))))))))</f>
        <v>.</v>
      </c>
      <c r="G462" s="13" t="s">
        <v>547</v>
      </c>
      <c r="H462" s="14"/>
      <c r="I462" s="92"/>
      <c r="J462" s="93"/>
      <c r="K462" s="85"/>
    </row>
    <row r="463" spans="1:11" s="3" customFormat="1" ht="70" x14ac:dyDescent="0.2">
      <c r="A463" s="4" t="s">
        <v>188</v>
      </c>
      <c r="B463" s="9" t="s">
        <v>282</v>
      </c>
      <c r="C463" s="89" t="s">
        <v>246</v>
      </c>
      <c r="D463" s="89" t="s">
        <v>969</v>
      </c>
      <c r="E463" s="4" t="s">
        <v>187</v>
      </c>
      <c r="F463" s="8" t="str">
        <f>IF('Self-Assessment_Cases'!I463="Implemented","5",IF('Self-Assessment_Cases'!I463="In Progress - Administrative","3",IF('Self-Assessment_Cases'!I463="In Progress - Configuration","3",IF('Self-Assessment_Cases'!I463="In Progress - Installation/Upgrade","3",IF('Self-Assessment_Cases'!I463="Not Implemented - Compensating Control","5",IF('Self-Assessment_Cases'!I463="Not Implemented - Risk Negligible","5",IF('Self-Assessment_Cases'!I463="Not Implemented - Risk Accepted","1",IF('Self-Assessment_Cases'!I463="Not Implemented - Planned","1",IF('Self-Assessment_Cases'!I463="Not Implemented - Unplanned","1",".")))))))))</f>
        <v>.</v>
      </c>
      <c r="G463" s="13" t="s">
        <v>727</v>
      </c>
      <c r="H463" s="14"/>
      <c r="I463" s="92"/>
      <c r="J463" s="93"/>
      <c r="K463" s="85"/>
    </row>
    <row r="464" spans="1:11" s="79" customFormat="1" ht="42" x14ac:dyDescent="0.2">
      <c r="A464" s="72" t="s">
        <v>194</v>
      </c>
      <c r="B464" s="9" t="s">
        <v>332</v>
      </c>
      <c r="C464" s="89" t="s">
        <v>245</v>
      </c>
      <c r="D464" s="89" t="s">
        <v>1223</v>
      </c>
      <c r="E464" s="4" t="s">
        <v>193</v>
      </c>
      <c r="F464" s="8" t="str">
        <f>IF('Self-Assessment_Cases'!I464="Implemented","5",IF('Self-Assessment_Cases'!I464="In Progress - Administrative","3",IF('Self-Assessment_Cases'!I464="In Progress - Configuration","3",IF('Self-Assessment_Cases'!I464="In Progress - Installation/Upgrade","3",IF('Self-Assessment_Cases'!I464="Not Implemented - Compensating Control","5",IF('Self-Assessment_Cases'!I464="Not Implemented - Risk Negligible","5",IF('Self-Assessment_Cases'!I464="Not Implemented - Risk Accepted","1",IF('Self-Assessment_Cases'!I464="Not Implemented - Planned","1",IF('Self-Assessment_Cases'!I464="Not Implemented - Unplanned","1",".")))))))))</f>
        <v>.</v>
      </c>
      <c r="G464" s="80" t="s">
        <v>1402</v>
      </c>
      <c r="H464" s="14"/>
      <c r="I464" s="92"/>
      <c r="J464" s="11"/>
      <c r="K464" s="75"/>
    </row>
    <row r="465" spans="1:11" s="79" customFormat="1" ht="42" x14ac:dyDescent="0.2">
      <c r="A465" s="72" t="s">
        <v>194</v>
      </c>
      <c r="B465" s="9" t="s">
        <v>332</v>
      </c>
      <c r="C465" s="89" t="s">
        <v>245</v>
      </c>
      <c r="D465" s="89" t="s">
        <v>845</v>
      </c>
      <c r="E465" s="4" t="s">
        <v>193</v>
      </c>
      <c r="F465" s="8" t="str">
        <f>IF('Self-Assessment_Cases'!I465="Implemented","5",IF('Self-Assessment_Cases'!I465="In Progress - Administrative","3",IF('Self-Assessment_Cases'!I465="In Progress - Configuration","3",IF('Self-Assessment_Cases'!I465="In Progress - Installation/Upgrade","3",IF('Self-Assessment_Cases'!I465="Not Implemented - Compensating Control","5",IF('Self-Assessment_Cases'!I465="Not Implemented - Risk Negligible","5",IF('Self-Assessment_Cases'!I465="Not Implemented - Risk Accepted","1",IF('Self-Assessment_Cases'!I465="Not Implemented - Planned","1",IF('Self-Assessment_Cases'!I465="Not Implemented - Unplanned","1",".")))))))))</f>
        <v>.</v>
      </c>
      <c r="G465" s="80" t="s">
        <v>1403</v>
      </c>
      <c r="H465" s="14"/>
      <c r="I465" s="92"/>
      <c r="J465" s="11"/>
      <c r="K465" s="75"/>
    </row>
    <row r="466" spans="1:11" s="79" customFormat="1" ht="42" x14ac:dyDescent="0.2">
      <c r="A466" s="72" t="s">
        <v>194</v>
      </c>
      <c r="B466" s="9" t="s">
        <v>332</v>
      </c>
      <c r="C466" s="89" t="s">
        <v>245</v>
      </c>
      <c r="D466" s="89" t="s">
        <v>915</v>
      </c>
      <c r="E466" s="4" t="s">
        <v>193</v>
      </c>
      <c r="F466" s="8" t="str">
        <f>IF('Self-Assessment_Cases'!I466="Implemented","5",IF('Self-Assessment_Cases'!I466="In Progress - Administrative","3",IF('Self-Assessment_Cases'!I466="In Progress - Configuration","3",IF('Self-Assessment_Cases'!I466="In Progress - Installation/Upgrade","3",IF('Self-Assessment_Cases'!I466="Not Implemented - Compensating Control","5",IF('Self-Assessment_Cases'!I466="Not Implemented - Risk Negligible","5",IF('Self-Assessment_Cases'!I466="Not Implemented - Risk Accepted","1",IF('Self-Assessment_Cases'!I466="Not Implemented - Planned","1",IF('Self-Assessment_Cases'!I466="Not Implemented - Unplanned","1",".")))))))))</f>
        <v>.</v>
      </c>
      <c r="G466" s="80" t="s">
        <v>1404</v>
      </c>
      <c r="H466" s="14"/>
      <c r="I466" s="92"/>
      <c r="J466" s="11"/>
      <c r="K466" s="75"/>
    </row>
    <row r="467" spans="1:11" s="79" customFormat="1" ht="42" x14ac:dyDescent="0.2">
      <c r="A467" s="72" t="s">
        <v>194</v>
      </c>
      <c r="B467" s="9" t="s">
        <v>332</v>
      </c>
      <c r="C467" s="89" t="s">
        <v>245</v>
      </c>
      <c r="D467" s="89" t="s">
        <v>970</v>
      </c>
      <c r="E467" s="4" t="s">
        <v>193</v>
      </c>
      <c r="F467" s="8" t="str">
        <f>IF('Self-Assessment_Cases'!I467="Implemented","5",IF('Self-Assessment_Cases'!I467="In Progress - Administrative","3",IF('Self-Assessment_Cases'!I467="In Progress - Configuration","3",IF('Self-Assessment_Cases'!I467="In Progress - Installation/Upgrade","3",IF('Self-Assessment_Cases'!I467="Not Implemented - Compensating Control","5",IF('Self-Assessment_Cases'!I467="Not Implemented - Risk Negligible","5",IF('Self-Assessment_Cases'!I467="Not Implemented - Risk Accepted","1",IF('Self-Assessment_Cases'!I467="Not Implemented - Planned","1",IF('Self-Assessment_Cases'!I467="Not Implemented - Unplanned","1",".")))))))))</f>
        <v>.</v>
      </c>
      <c r="G467" s="80" t="s">
        <v>1405</v>
      </c>
      <c r="H467" s="14"/>
      <c r="I467" s="92"/>
      <c r="J467" s="11"/>
      <c r="K467" s="75"/>
    </row>
    <row r="468" spans="1:11" s="83" customFormat="1" ht="42" x14ac:dyDescent="0.2">
      <c r="A468" s="72" t="s">
        <v>194</v>
      </c>
      <c r="B468" s="9" t="s">
        <v>332</v>
      </c>
      <c r="C468" s="89" t="s">
        <v>245</v>
      </c>
      <c r="D468" s="89" t="s">
        <v>1008</v>
      </c>
      <c r="E468" s="4" t="s">
        <v>193</v>
      </c>
      <c r="F468" s="8" t="str">
        <f>IF('Self-Assessment_Cases'!I468="Implemented","5",IF('Self-Assessment_Cases'!I468="In Progress - Administrative","3",IF('Self-Assessment_Cases'!I468="In Progress - Configuration","3",IF('Self-Assessment_Cases'!I468="In Progress - Installation/Upgrade","3",IF('Self-Assessment_Cases'!I468="Not Implemented - Compensating Control","5",IF('Self-Assessment_Cases'!I468="Not Implemented - Risk Negligible","5",IF('Self-Assessment_Cases'!I468="Not Implemented - Risk Accepted","1",IF('Self-Assessment_Cases'!I468="Not Implemented - Planned","1",IF('Self-Assessment_Cases'!I468="Not Implemented - Unplanned","1",".")))))))))</f>
        <v>.</v>
      </c>
      <c r="G468" s="80" t="s">
        <v>1406</v>
      </c>
      <c r="H468" s="14"/>
      <c r="I468" s="92"/>
      <c r="J468" s="11"/>
      <c r="K468" s="75"/>
    </row>
    <row r="469" spans="1:11" s="83" customFormat="1" ht="42" x14ac:dyDescent="0.2">
      <c r="A469" s="72" t="s">
        <v>194</v>
      </c>
      <c r="B469" s="9" t="s">
        <v>332</v>
      </c>
      <c r="C469" s="89" t="s">
        <v>245</v>
      </c>
      <c r="D469" s="89" t="s">
        <v>1034</v>
      </c>
      <c r="E469" s="4" t="s">
        <v>193</v>
      </c>
      <c r="F469" s="8" t="str">
        <f>IF('Self-Assessment_Cases'!I469="Implemented","5",IF('Self-Assessment_Cases'!I469="In Progress - Administrative","3",IF('Self-Assessment_Cases'!I469="In Progress - Configuration","3",IF('Self-Assessment_Cases'!I469="In Progress - Installation/Upgrade","3",IF('Self-Assessment_Cases'!I469="Not Implemented - Compensating Control","5",IF('Self-Assessment_Cases'!I469="Not Implemented - Risk Negligible","5",IF('Self-Assessment_Cases'!I469="Not Implemented - Risk Accepted","1",IF('Self-Assessment_Cases'!I469="Not Implemented - Planned","1",IF('Self-Assessment_Cases'!I469="Not Implemented - Unplanned","1",".")))))))))</f>
        <v>.</v>
      </c>
      <c r="G469" s="80" t="s">
        <v>1407</v>
      </c>
      <c r="H469" s="14"/>
      <c r="I469" s="92"/>
      <c r="J469" s="11"/>
      <c r="K469" s="75"/>
    </row>
    <row r="470" spans="1:11" s="83" customFormat="1" ht="42" x14ac:dyDescent="0.2">
      <c r="A470" s="72" t="s">
        <v>194</v>
      </c>
      <c r="B470" s="9" t="s">
        <v>332</v>
      </c>
      <c r="C470" s="89" t="s">
        <v>245</v>
      </c>
      <c r="D470" s="89" t="s">
        <v>1059</v>
      </c>
      <c r="E470" s="4" t="s">
        <v>193</v>
      </c>
      <c r="F470" s="8" t="str">
        <f>IF('Self-Assessment_Cases'!I470="Implemented","5",IF('Self-Assessment_Cases'!I470="In Progress - Administrative","3",IF('Self-Assessment_Cases'!I470="In Progress - Configuration","3",IF('Self-Assessment_Cases'!I470="In Progress - Installation/Upgrade","3",IF('Self-Assessment_Cases'!I470="Not Implemented - Compensating Control","5",IF('Self-Assessment_Cases'!I470="Not Implemented - Risk Negligible","5",IF('Self-Assessment_Cases'!I470="Not Implemented - Risk Accepted","1",IF('Self-Assessment_Cases'!I470="Not Implemented - Planned","1",IF('Self-Assessment_Cases'!I470="Not Implemented - Unplanned","1",".")))))))))</f>
        <v>.</v>
      </c>
      <c r="G470" s="80" t="s">
        <v>1408</v>
      </c>
      <c r="H470" s="14"/>
      <c r="I470" s="92"/>
      <c r="J470" s="11"/>
      <c r="K470" s="75"/>
    </row>
    <row r="471" spans="1:11" s="83" customFormat="1" ht="56" x14ac:dyDescent="0.2">
      <c r="A471" s="72" t="s">
        <v>194</v>
      </c>
      <c r="B471" s="9" t="s">
        <v>332</v>
      </c>
      <c r="C471" s="89" t="s">
        <v>245</v>
      </c>
      <c r="D471" s="89" t="s">
        <v>1079</v>
      </c>
      <c r="E471" s="4" t="s">
        <v>193</v>
      </c>
      <c r="F471" s="8" t="str">
        <f>IF('Self-Assessment_Cases'!I471="Implemented","5",IF('Self-Assessment_Cases'!I471="In Progress - Administrative","3",IF('Self-Assessment_Cases'!I471="In Progress - Configuration","3",IF('Self-Assessment_Cases'!I471="In Progress - Installation/Upgrade","3",IF('Self-Assessment_Cases'!I471="Not Implemented - Compensating Control","5",IF('Self-Assessment_Cases'!I471="Not Implemented - Risk Negligible","5",IF('Self-Assessment_Cases'!I471="Not Implemented - Risk Accepted","1",IF('Self-Assessment_Cases'!I471="Not Implemented - Planned","1",IF('Self-Assessment_Cases'!I471="Not Implemented - Unplanned","1",".")))))))))</f>
        <v>.</v>
      </c>
      <c r="G471" s="80" t="s">
        <v>1409</v>
      </c>
      <c r="H471" s="14"/>
      <c r="I471" s="92"/>
      <c r="J471" s="11"/>
      <c r="K471" s="75"/>
    </row>
    <row r="472" spans="1:11" s="83" customFormat="1" ht="42" x14ac:dyDescent="0.2">
      <c r="A472" s="72" t="s">
        <v>194</v>
      </c>
      <c r="B472" s="9" t="s">
        <v>332</v>
      </c>
      <c r="C472" s="89" t="s">
        <v>245</v>
      </c>
      <c r="D472" s="89" t="s">
        <v>1098</v>
      </c>
      <c r="E472" s="4" t="s">
        <v>193</v>
      </c>
      <c r="F472" s="8" t="str">
        <f>IF('Self-Assessment_Cases'!I472="Implemented","5",IF('Self-Assessment_Cases'!I472="In Progress - Administrative","3",IF('Self-Assessment_Cases'!I472="In Progress - Configuration","3",IF('Self-Assessment_Cases'!I472="In Progress - Installation/Upgrade","3",IF('Self-Assessment_Cases'!I472="Not Implemented - Compensating Control","5",IF('Self-Assessment_Cases'!I472="Not Implemented - Risk Negligible","5",IF('Self-Assessment_Cases'!I472="Not Implemented - Risk Accepted","1",IF('Self-Assessment_Cases'!I472="Not Implemented - Planned","1",IF('Self-Assessment_Cases'!I472="Not Implemented - Unplanned","1",".")))))))))</f>
        <v>.</v>
      </c>
      <c r="G472" s="80" t="s">
        <v>389</v>
      </c>
      <c r="H472" s="14"/>
      <c r="I472" s="92"/>
      <c r="J472" s="11"/>
      <c r="K472" s="75"/>
    </row>
    <row r="473" spans="1:11" s="83" customFormat="1" ht="42" x14ac:dyDescent="0.2">
      <c r="A473" s="72" t="s">
        <v>194</v>
      </c>
      <c r="B473" s="9" t="s">
        <v>332</v>
      </c>
      <c r="C473" s="89" t="s">
        <v>245</v>
      </c>
      <c r="D473" s="89" t="s">
        <v>1401</v>
      </c>
      <c r="E473" s="4" t="s">
        <v>193</v>
      </c>
      <c r="F473" s="8" t="str">
        <f>IF('Self-Assessment_Cases'!I473="Implemented","5",IF('Self-Assessment_Cases'!I473="In Progress - Administrative","3",IF('Self-Assessment_Cases'!I473="In Progress - Configuration","3",IF('Self-Assessment_Cases'!I473="In Progress - Installation/Upgrade","3",IF('Self-Assessment_Cases'!I473="Not Implemented - Compensating Control","5",IF('Self-Assessment_Cases'!I473="Not Implemented - Risk Negligible","5",IF('Self-Assessment_Cases'!I473="Not Implemented - Risk Accepted","1",IF('Self-Assessment_Cases'!I473="Not Implemented - Planned","1",IF('Self-Assessment_Cases'!I473="Not Implemented - Unplanned","1",".")))))))))</f>
        <v>.</v>
      </c>
      <c r="G473" s="80" t="s">
        <v>390</v>
      </c>
      <c r="H473" s="14"/>
      <c r="I473" s="92"/>
      <c r="J473" s="11"/>
      <c r="K473" s="75"/>
    </row>
    <row r="474" spans="1:11" s="83" customFormat="1" ht="56" x14ac:dyDescent="0.2">
      <c r="A474" s="72" t="s">
        <v>203</v>
      </c>
      <c r="B474" s="9"/>
      <c r="C474" s="89" t="s">
        <v>245</v>
      </c>
      <c r="D474" s="89" t="s">
        <v>1224</v>
      </c>
      <c r="E474" s="4" t="s">
        <v>202</v>
      </c>
      <c r="F474" s="8" t="str">
        <f>IF('Self-Assessment_Cases'!I474="Implemented","5",IF('Self-Assessment_Cases'!I474="In Progress - Administrative","3",IF('Self-Assessment_Cases'!I474="In Progress - Configuration","3",IF('Self-Assessment_Cases'!I474="In Progress - Installation/Upgrade","3",IF('Self-Assessment_Cases'!I474="Not Implemented - Compensating Control","5",IF('Self-Assessment_Cases'!I474="Not Implemented - Risk Negligible","5",IF('Self-Assessment_Cases'!I474="Not Implemented - Risk Accepted","1",IF('Self-Assessment_Cases'!I474="Not Implemented - Planned","1",IF('Self-Assessment_Cases'!I474="Not Implemented - Unplanned","1",".")))))))))</f>
        <v>.</v>
      </c>
      <c r="G474" s="80" t="s">
        <v>350</v>
      </c>
      <c r="H474" s="14"/>
      <c r="I474" s="92"/>
      <c r="J474" s="97"/>
      <c r="K474" s="75"/>
    </row>
    <row r="475" spans="1:11" s="6" customFormat="1" ht="108.75" customHeight="1" x14ac:dyDescent="0.2">
      <c r="A475" s="4" t="s">
        <v>205</v>
      </c>
      <c r="B475" s="9" t="s">
        <v>355</v>
      </c>
      <c r="C475" s="89" t="s">
        <v>246</v>
      </c>
      <c r="D475" s="89" t="s">
        <v>1225</v>
      </c>
      <c r="E475" s="4" t="s">
        <v>204</v>
      </c>
      <c r="F475" s="8" t="str">
        <f>IF('Self-Assessment_Cases'!I475="Implemented","5",IF('Self-Assessment_Cases'!I475="In Progress - Administrative","3",IF('Self-Assessment_Cases'!I475="In Progress - Configuration","3",IF('Self-Assessment_Cases'!I475="In Progress - Installation/Upgrade","3",IF('Self-Assessment_Cases'!I475="Not Implemented - Compensating Control","5",IF('Self-Assessment_Cases'!I475="Not Implemented - Risk Negligible","5",IF('Self-Assessment_Cases'!I475="Not Implemented - Risk Accepted","1",IF('Self-Assessment_Cases'!I475="Not Implemented - Planned","1",IF('Self-Assessment_Cases'!I475="Not Implemented - Unplanned","1",".")))))))))</f>
        <v>.</v>
      </c>
      <c r="G475" s="23" t="s">
        <v>480</v>
      </c>
      <c r="H475" s="14"/>
      <c r="I475" s="92"/>
      <c r="J475" s="98"/>
      <c r="K475" s="86"/>
    </row>
    <row r="476" spans="1:11" s="6" customFormat="1" ht="99.75" customHeight="1" x14ac:dyDescent="0.2">
      <c r="A476" s="4" t="s">
        <v>205</v>
      </c>
      <c r="B476" s="9" t="s">
        <v>355</v>
      </c>
      <c r="C476" s="89" t="s">
        <v>246</v>
      </c>
      <c r="D476" s="89" t="s">
        <v>846</v>
      </c>
      <c r="E476" s="4" t="s">
        <v>204</v>
      </c>
      <c r="F476" s="8" t="str">
        <f>IF('Self-Assessment_Cases'!I476="Implemented","5",IF('Self-Assessment_Cases'!I476="In Progress - Administrative","3",IF('Self-Assessment_Cases'!I476="In Progress - Configuration","3",IF('Self-Assessment_Cases'!I476="In Progress - Installation/Upgrade","3",IF('Self-Assessment_Cases'!I476="Not Implemented - Compensating Control","5",IF('Self-Assessment_Cases'!I476="Not Implemented - Risk Negligible","5",IF('Self-Assessment_Cases'!I476="Not Implemented - Risk Accepted","1",IF('Self-Assessment_Cases'!I476="Not Implemented - Planned","1",IF('Self-Assessment_Cases'!I476="Not Implemented - Unplanned","1",".")))))))))</f>
        <v>.</v>
      </c>
      <c r="G476" s="23" t="s">
        <v>481</v>
      </c>
      <c r="H476" s="14"/>
      <c r="I476" s="92"/>
      <c r="J476" s="98"/>
      <c r="K476" s="86"/>
    </row>
    <row r="477" spans="1:11" s="6" customFormat="1" ht="100.5" customHeight="1" x14ac:dyDescent="0.2">
      <c r="A477" s="4" t="s">
        <v>205</v>
      </c>
      <c r="B477" s="9" t="s">
        <v>355</v>
      </c>
      <c r="C477" s="89" t="s">
        <v>246</v>
      </c>
      <c r="D477" s="89" t="s">
        <v>916</v>
      </c>
      <c r="E477" s="4" t="s">
        <v>204</v>
      </c>
      <c r="F477" s="8" t="str">
        <f>IF('Self-Assessment_Cases'!I477="Implemented","5",IF('Self-Assessment_Cases'!I477="In Progress - Administrative","3",IF('Self-Assessment_Cases'!I477="In Progress - Configuration","3",IF('Self-Assessment_Cases'!I477="In Progress - Installation/Upgrade","3",IF('Self-Assessment_Cases'!I477="Not Implemented - Compensating Control","5",IF('Self-Assessment_Cases'!I477="Not Implemented - Risk Negligible","5",IF('Self-Assessment_Cases'!I477="Not Implemented - Risk Accepted","1",IF('Self-Assessment_Cases'!I477="Not Implemented - Planned","1",IF('Self-Assessment_Cases'!I477="Not Implemented - Unplanned","1",".")))))))))</f>
        <v>.</v>
      </c>
      <c r="G477" s="10" t="s">
        <v>482</v>
      </c>
      <c r="H477" s="14"/>
      <c r="I477" s="92"/>
      <c r="J477" s="98"/>
      <c r="K477" s="86"/>
    </row>
    <row r="478" spans="1:11" s="6" customFormat="1" ht="102" customHeight="1" x14ac:dyDescent="0.2">
      <c r="A478" s="4" t="s">
        <v>195</v>
      </c>
      <c r="B478" s="9" t="s">
        <v>380</v>
      </c>
      <c r="C478" s="89" t="s">
        <v>247</v>
      </c>
      <c r="D478" s="89" t="s">
        <v>1226</v>
      </c>
      <c r="E478" s="4" t="s">
        <v>749</v>
      </c>
      <c r="F478" s="8" t="str">
        <f>IF('Self-Assessment_Cases'!I478="Implemented","5",IF('Self-Assessment_Cases'!I478="In Progress - Administrative","3",IF('Self-Assessment_Cases'!I478="In Progress - Configuration","3",IF('Self-Assessment_Cases'!I478="In Progress - Installation/Upgrade","3",IF('Self-Assessment_Cases'!I478="Not Implemented - Compensating Control","5",IF('Self-Assessment_Cases'!I478="Not Implemented - Risk Negligible","5",IF('Self-Assessment_Cases'!I478="Not Implemented - Risk Accepted","1",IF('Self-Assessment_Cases'!I478="Not Implemented - Planned","1",IF('Self-Assessment_Cases'!I478="Not Implemented - Unplanned","1",".")))))))))</f>
        <v>.</v>
      </c>
      <c r="G478" s="10" t="s">
        <v>381</v>
      </c>
      <c r="H478" s="14"/>
      <c r="I478" s="92"/>
      <c r="J478" s="99"/>
      <c r="K478" s="10"/>
    </row>
    <row r="479" spans="1:11" s="83" customFormat="1" ht="28" x14ac:dyDescent="0.2">
      <c r="A479" s="72" t="s">
        <v>207</v>
      </c>
      <c r="B479" s="9" t="s">
        <v>335</v>
      </c>
      <c r="C479" s="89" t="s">
        <v>245</v>
      </c>
      <c r="D479" s="89" t="s">
        <v>1227</v>
      </c>
      <c r="E479" s="4" t="s">
        <v>206</v>
      </c>
      <c r="F479" s="8" t="str">
        <f>IF('Self-Assessment_Cases'!I479="Implemented","5",IF('Self-Assessment_Cases'!I479="In Progress - Administrative","3",IF('Self-Assessment_Cases'!I479="In Progress - Configuration","3",IF('Self-Assessment_Cases'!I479="In Progress - Installation/Upgrade","3",IF('Self-Assessment_Cases'!I479="Not Implemented - Compensating Control","5",IF('Self-Assessment_Cases'!I479="Not Implemented - Risk Negligible","5",IF('Self-Assessment_Cases'!I479="Not Implemented - Risk Accepted","1",IF('Self-Assessment_Cases'!I479="Not Implemented - Planned","1",IF('Self-Assessment_Cases'!I479="Not Implemented - Unplanned","1",".")))))))))</f>
        <v>.</v>
      </c>
      <c r="G479" s="75" t="s">
        <v>681</v>
      </c>
      <c r="H479" s="14"/>
      <c r="I479" s="92"/>
      <c r="J479" s="11"/>
      <c r="K479" s="75"/>
    </row>
    <row r="480" spans="1:11" s="83" customFormat="1" ht="28" x14ac:dyDescent="0.2">
      <c r="A480" s="72" t="s">
        <v>207</v>
      </c>
      <c r="B480" s="9" t="s">
        <v>335</v>
      </c>
      <c r="C480" s="89" t="s">
        <v>245</v>
      </c>
      <c r="D480" s="89" t="s">
        <v>847</v>
      </c>
      <c r="E480" s="4" t="s">
        <v>206</v>
      </c>
      <c r="F480" s="8" t="str">
        <f>IF('Self-Assessment_Cases'!I480="Implemented","5",IF('Self-Assessment_Cases'!I480="In Progress - Administrative","3",IF('Self-Assessment_Cases'!I480="In Progress - Configuration","3",IF('Self-Assessment_Cases'!I480="In Progress - Installation/Upgrade","3",IF('Self-Assessment_Cases'!I480="Not Implemented - Compensating Control","5",IF('Self-Assessment_Cases'!I480="Not Implemented - Risk Negligible","5",IF('Self-Assessment_Cases'!I480="Not Implemented - Risk Accepted","1",IF('Self-Assessment_Cases'!I480="Not Implemented - Planned","1",IF('Self-Assessment_Cases'!I480="Not Implemented - Unplanned","1",".")))))))))</f>
        <v>.</v>
      </c>
      <c r="G480" s="75" t="s">
        <v>682</v>
      </c>
      <c r="H480" s="14"/>
      <c r="I480" s="92"/>
      <c r="J480" s="11"/>
      <c r="K480" s="75"/>
    </row>
    <row r="481" spans="1:11" s="83" customFormat="1" ht="28" x14ac:dyDescent="0.2">
      <c r="A481" s="72" t="s">
        <v>207</v>
      </c>
      <c r="B481" s="9" t="s">
        <v>335</v>
      </c>
      <c r="C481" s="89" t="s">
        <v>245</v>
      </c>
      <c r="D481" s="89" t="s">
        <v>917</v>
      </c>
      <c r="E481" s="4" t="s">
        <v>206</v>
      </c>
      <c r="F481" s="8" t="str">
        <f>IF('Self-Assessment_Cases'!I481="Implemented","5",IF('Self-Assessment_Cases'!I481="In Progress - Administrative","3",IF('Self-Assessment_Cases'!I481="In Progress - Configuration","3",IF('Self-Assessment_Cases'!I481="In Progress - Installation/Upgrade","3",IF('Self-Assessment_Cases'!I481="Not Implemented - Compensating Control","5",IF('Self-Assessment_Cases'!I481="Not Implemented - Risk Negligible","5",IF('Self-Assessment_Cases'!I481="Not Implemented - Risk Accepted","1",IF('Self-Assessment_Cases'!I481="Not Implemented - Planned","1",IF('Self-Assessment_Cases'!I481="Not Implemented - Unplanned","1",".")))))))))</f>
        <v>.</v>
      </c>
      <c r="G481" s="75" t="s">
        <v>683</v>
      </c>
      <c r="H481" s="14"/>
      <c r="I481" s="92"/>
      <c r="J481" s="11"/>
      <c r="K481" s="75"/>
    </row>
    <row r="482" spans="1:11" s="83" customFormat="1" ht="28" x14ac:dyDescent="0.2">
      <c r="A482" s="72" t="s">
        <v>207</v>
      </c>
      <c r="B482" s="9" t="s">
        <v>335</v>
      </c>
      <c r="C482" s="89" t="s">
        <v>245</v>
      </c>
      <c r="D482" s="89" t="s">
        <v>971</v>
      </c>
      <c r="E482" s="4" t="s">
        <v>206</v>
      </c>
      <c r="F482" s="8" t="str">
        <f>IF('Self-Assessment_Cases'!I482="Implemented","5",IF('Self-Assessment_Cases'!I482="In Progress - Administrative","3",IF('Self-Assessment_Cases'!I482="In Progress - Configuration","3",IF('Self-Assessment_Cases'!I482="In Progress - Installation/Upgrade","3",IF('Self-Assessment_Cases'!I482="Not Implemented - Compensating Control","5",IF('Self-Assessment_Cases'!I482="Not Implemented - Risk Negligible","5",IF('Self-Assessment_Cases'!I482="Not Implemented - Risk Accepted","1",IF('Self-Assessment_Cases'!I482="Not Implemented - Planned","1",IF('Self-Assessment_Cases'!I482="Not Implemented - Unplanned","1",".")))))))))</f>
        <v>.</v>
      </c>
      <c r="G482" s="75" t="s">
        <v>684</v>
      </c>
      <c r="H482" s="14"/>
      <c r="I482" s="92"/>
      <c r="J482" s="11"/>
      <c r="K482" s="75"/>
    </row>
    <row r="483" spans="1:11" s="6" customFormat="1" ht="70" x14ac:dyDescent="0.2">
      <c r="A483" s="4" t="s">
        <v>270</v>
      </c>
      <c r="B483" s="9"/>
      <c r="C483" s="89" t="s">
        <v>247</v>
      </c>
      <c r="D483" s="88" t="s">
        <v>1228</v>
      </c>
      <c r="E483" s="4" t="s">
        <v>233</v>
      </c>
      <c r="F483" s="8" t="str">
        <f>IF('Self-Assessment_Cases'!I483="Implemented","5",IF('Self-Assessment_Cases'!I483="In Progress - Administrative","3",IF('Self-Assessment_Cases'!I483="In Progress - Configuration","3",IF('Self-Assessment_Cases'!I483="In Progress - Installation/Upgrade","3",IF('Self-Assessment_Cases'!I483="Not Implemented - Compensating Control","5",IF('Self-Assessment_Cases'!I483="Not Implemented - Risk Negligible","5",IF('Self-Assessment_Cases'!I483="Not Implemented - Risk Accepted","1",IF('Self-Assessment_Cases'!I483="Not Implemented - Planned","1",IF('Self-Assessment_Cases'!I483="Not Implemented - Unplanned","1",".")))))))))</f>
        <v>.</v>
      </c>
      <c r="G483" s="9" t="s">
        <v>572</v>
      </c>
      <c r="H483" s="14"/>
      <c r="I483" s="92"/>
      <c r="J483" s="14"/>
      <c r="K483" s="9"/>
    </row>
    <row r="484" spans="1:11" s="6" customFormat="1" ht="28" x14ac:dyDescent="0.2">
      <c r="A484" s="4" t="s">
        <v>270</v>
      </c>
      <c r="B484" s="9"/>
      <c r="C484" s="89" t="s">
        <v>247</v>
      </c>
      <c r="D484" s="88" t="s">
        <v>848</v>
      </c>
      <c r="E484" s="4" t="s">
        <v>233</v>
      </c>
      <c r="F484" s="8" t="str">
        <f>IF('Self-Assessment_Cases'!I484="Implemented","5",IF('Self-Assessment_Cases'!I484="In Progress - Administrative","3",IF('Self-Assessment_Cases'!I484="In Progress - Configuration","3",IF('Self-Assessment_Cases'!I484="In Progress - Installation/Upgrade","3",IF('Self-Assessment_Cases'!I484="Not Implemented - Compensating Control","5",IF('Self-Assessment_Cases'!I484="Not Implemented - Risk Negligible","5",IF('Self-Assessment_Cases'!I484="Not Implemented - Risk Accepted","1",IF('Self-Assessment_Cases'!I484="Not Implemented - Planned","1",IF('Self-Assessment_Cases'!I484="Not Implemented - Unplanned","1",".")))))))))</f>
        <v>.</v>
      </c>
      <c r="G484" s="9" t="s">
        <v>571</v>
      </c>
      <c r="H484" s="14"/>
      <c r="I484" s="92"/>
      <c r="J484" s="14"/>
      <c r="K484" s="9"/>
    </row>
    <row r="485" spans="1:11" s="6" customFormat="1" ht="70" x14ac:dyDescent="0.2">
      <c r="A485" s="4" t="s">
        <v>197</v>
      </c>
      <c r="B485" s="9"/>
      <c r="C485" s="89" t="s">
        <v>247</v>
      </c>
      <c r="D485" s="89" t="s">
        <v>1229</v>
      </c>
      <c r="E485" s="4" t="s">
        <v>196</v>
      </c>
      <c r="F485" s="8" t="str">
        <f>IF('Self-Assessment_Cases'!I485="Implemented","5",IF('Self-Assessment_Cases'!I485="In Progress - Administrative","3",IF('Self-Assessment_Cases'!I485="In Progress - Configuration","3",IF('Self-Assessment_Cases'!I485="In Progress - Installation/Upgrade","3",IF('Self-Assessment_Cases'!I485="Not Implemented - Compensating Control","5",IF('Self-Assessment_Cases'!I485="Not Implemented - Risk Negligible","5",IF('Self-Assessment_Cases'!I485="Not Implemented - Risk Accepted","1",IF('Self-Assessment_Cases'!I485="Not Implemented - Planned","1",IF('Self-Assessment_Cases'!I485="Not Implemented - Unplanned","1",".")))))))))</f>
        <v>.</v>
      </c>
      <c r="G485" s="9" t="s">
        <v>378</v>
      </c>
      <c r="H485" s="14"/>
      <c r="I485" s="92"/>
      <c r="J485" s="14"/>
      <c r="K485" s="9"/>
    </row>
    <row r="486" spans="1:11" s="83" customFormat="1" ht="28" x14ac:dyDescent="0.2">
      <c r="A486" s="72" t="s">
        <v>199</v>
      </c>
      <c r="B486" s="9" t="s">
        <v>333</v>
      </c>
      <c r="C486" s="89" t="s">
        <v>245</v>
      </c>
      <c r="D486" s="89" t="s">
        <v>1230</v>
      </c>
      <c r="E486" s="4" t="s">
        <v>198</v>
      </c>
      <c r="F486" s="8" t="str">
        <f>IF('Self-Assessment_Cases'!I486="Implemented","5",IF('Self-Assessment_Cases'!I486="In Progress - Administrative","3",IF('Self-Assessment_Cases'!I486="In Progress - Configuration","3",IF('Self-Assessment_Cases'!I486="In Progress - Installation/Upgrade","3",IF('Self-Assessment_Cases'!I486="Not Implemented - Compensating Control","5",IF('Self-Assessment_Cases'!I486="Not Implemented - Risk Negligible","5",IF('Self-Assessment_Cases'!I486="Not Implemented - Risk Accepted","1",IF('Self-Assessment_Cases'!I486="Not Implemented - Planned","1",IF('Self-Assessment_Cases'!I486="Not Implemented - Unplanned","1",".")))))))))</f>
        <v>.</v>
      </c>
      <c r="G486" s="75" t="s">
        <v>429</v>
      </c>
      <c r="H486" s="14"/>
      <c r="I486" s="92"/>
      <c r="J486" s="11"/>
      <c r="K486" s="75"/>
    </row>
    <row r="487" spans="1:11" s="83" customFormat="1" ht="140" x14ac:dyDescent="0.2">
      <c r="A487" s="72" t="s">
        <v>199</v>
      </c>
      <c r="B487" s="9" t="s">
        <v>333</v>
      </c>
      <c r="C487" s="89" t="s">
        <v>245</v>
      </c>
      <c r="D487" s="89" t="s">
        <v>849</v>
      </c>
      <c r="E487" s="4" t="s">
        <v>198</v>
      </c>
      <c r="F487" s="8" t="str">
        <f>IF('Self-Assessment_Cases'!I487="Implemented","5",IF('Self-Assessment_Cases'!I487="In Progress - Administrative","3",IF('Self-Assessment_Cases'!I487="In Progress - Configuration","3",IF('Self-Assessment_Cases'!I487="In Progress - Installation/Upgrade","3",IF('Self-Assessment_Cases'!I487="Not Implemented - Compensating Control","5",IF('Self-Assessment_Cases'!I487="Not Implemented - Risk Negligible","5",IF('Self-Assessment_Cases'!I487="Not Implemented - Risk Accepted","1",IF('Self-Assessment_Cases'!I487="Not Implemented - Planned","1",IF('Self-Assessment_Cases'!I487="Not Implemented - Unplanned","1",".")))))))))</f>
        <v>.</v>
      </c>
      <c r="G487" s="75" t="s">
        <v>728</v>
      </c>
      <c r="H487" s="14" t="s">
        <v>705</v>
      </c>
      <c r="I487" s="92"/>
      <c r="J487" s="11"/>
      <c r="K487" s="75"/>
    </row>
    <row r="488" spans="1:11" s="83" customFormat="1" ht="28" x14ac:dyDescent="0.2">
      <c r="A488" s="72" t="s">
        <v>199</v>
      </c>
      <c r="B488" s="9" t="s">
        <v>333</v>
      </c>
      <c r="C488" s="89" t="s">
        <v>245</v>
      </c>
      <c r="D488" s="89" t="s">
        <v>918</v>
      </c>
      <c r="E488" s="4" t="s">
        <v>198</v>
      </c>
      <c r="F488" s="8" t="str">
        <f>IF('Self-Assessment_Cases'!I488="Implemented","5",IF('Self-Assessment_Cases'!I488="In Progress - Administrative","3",IF('Self-Assessment_Cases'!I488="In Progress - Configuration","3",IF('Self-Assessment_Cases'!I488="In Progress - Installation/Upgrade","3",IF('Self-Assessment_Cases'!I488="Not Implemented - Compensating Control","5",IF('Self-Assessment_Cases'!I488="Not Implemented - Risk Negligible","5",IF('Self-Assessment_Cases'!I488="Not Implemented - Risk Accepted","1",IF('Self-Assessment_Cases'!I488="Not Implemented - Planned","1",IF('Self-Assessment_Cases'!I488="Not Implemented - Unplanned","1",".")))))))))</f>
        <v>.</v>
      </c>
      <c r="G488" s="75" t="s">
        <v>430</v>
      </c>
      <c r="H488" s="14"/>
      <c r="I488" s="92"/>
      <c r="J488" s="11"/>
      <c r="K488" s="75"/>
    </row>
    <row r="489" spans="1:11" s="83" customFormat="1" ht="28" x14ac:dyDescent="0.2">
      <c r="A489" s="72" t="s">
        <v>201</v>
      </c>
      <c r="B489" s="9" t="s">
        <v>334</v>
      </c>
      <c r="C489" s="89" t="s">
        <v>245</v>
      </c>
      <c r="D489" s="89" t="s">
        <v>1231</v>
      </c>
      <c r="E489" s="4" t="s">
        <v>200</v>
      </c>
      <c r="F489" s="8" t="str">
        <f>IF('Self-Assessment_Cases'!I489="Implemented","5",IF('Self-Assessment_Cases'!I489="In Progress - Administrative","3",IF('Self-Assessment_Cases'!I489="In Progress - Configuration","3",IF('Self-Assessment_Cases'!I489="In Progress - Installation/Upgrade","3",IF('Self-Assessment_Cases'!I489="Not Implemented - Compensating Control","5",IF('Self-Assessment_Cases'!I489="Not Implemented - Risk Negligible","5",IF('Self-Assessment_Cases'!I489="Not Implemented - Risk Accepted","1",IF('Self-Assessment_Cases'!I489="Not Implemented - Planned","1",IF('Self-Assessment_Cases'!I489="Not Implemented - Unplanned","1",".")))))))))</f>
        <v>.</v>
      </c>
      <c r="G489" s="75" t="s">
        <v>729</v>
      </c>
      <c r="H489" s="14"/>
      <c r="I489" s="92"/>
      <c r="J489" s="11"/>
      <c r="K489" s="75"/>
    </row>
    <row r="490" spans="1:11" s="83" customFormat="1" ht="56" x14ac:dyDescent="0.2">
      <c r="A490" s="72" t="s">
        <v>201</v>
      </c>
      <c r="B490" s="9" t="s">
        <v>334</v>
      </c>
      <c r="C490" s="89" t="s">
        <v>245</v>
      </c>
      <c r="D490" s="89" t="s">
        <v>850</v>
      </c>
      <c r="E490" s="4" t="s">
        <v>200</v>
      </c>
      <c r="F490" s="8" t="str">
        <f>IF('Self-Assessment_Cases'!I490="Implemented","5",IF('Self-Assessment_Cases'!I490="In Progress - Administrative","3",IF('Self-Assessment_Cases'!I490="In Progress - Configuration","3",IF('Self-Assessment_Cases'!I490="In Progress - Installation/Upgrade","3",IF('Self-Assessment_Cases'!I490="Not Implemented - Compensating Control","5",IF('Self-Assessment_Cases'!I490="Not Implemented - Risk Negligible","5",IF('Self-Assessment_Cases'!I490="Not Implemented - Risk Accepted","1",IF('Self-Assessment_Cases'!I490="Not Implemented - Planned","1",IF('Self-Assessment_Cases'!I490="Not Implemented - Unplanned","1",".")))))))))</f>
        <v>.</v>
      </c>
      <c r="G490" s="75" t="s">
        <v>455</v>
      </c>
      <c r="H490" s="14"/>
      <c r="I490" s="92"/>
      <c r="J490" s="11"/>
      <c r="K490" s="75"/>
    </row>
    <row r="491" spans="1:11" s="83" customFormat="1" ht="42" x14ac:dyDescent="0.2">
      <c r="A491" s="72" t="s">
        <v>209</v>
      </c>
      <c r="B491" s="9" t="s">
        <v>310</v>
      </c>
      <c r="C491" s="89" t="s">
        <v>245</v>
      </c>
      <c r="D491" s="89" t="s">
        <v>1232</v>
      </c>
      <c r="E491" s="4" t="s">
        <v>208</v>
      </c>
      <c r="F491" s="8" t="str">
        <f>IF('Self-Assessment_Cases'!I491="Implemented","5",IF('Self-Assessment_Cases'!I491="In Progress - Administrative","3",IF('Self-Assessment_Cases'!I491="In Progress - Configuration","3",IF('Self-Assessment_Cases'!I491="In Progress - Installation/Upgrade","3",IF('Self-Assessment_Cases'!I491="Not Implemented - Compensating Control","5",IF('Self-Assessment_Cases'!I491="Not Implemented - Risk Negligible","5",IF('Self-Assessment_Cases'!I491="Not Implemented - Risk Accepted","1",IF('Self-Assessment_Cases'!I491="Not Implemented - Planned","1",IF('Self-Assessment_Cases'!I491="Not Implemented - Unplanned","1",".")))))))))</f>
        <v>.</v>
      </c>
      <c r="G491" s="75" t="s">
        <v>1411</v>
      </c>
      <c r="H491" s="14"/>
      <c r="I491" s="92"/>
      <c r="J491" s="11"/>
      <c r="K491" s="75"/>
    </row>
    <row r="492" spans="1:11" ht="42" x14ac:dyDescent="0.2">
      <c r="A492" s="72" t="s">
        <v>209</v>
      </c>
      <c r="B492" s="9" t="s">
        <v>310</v>
      </c>
      <c r="C492" s="89" t="s">
        <v>245</v>
      </c>
      <c r="D492" s="89" t="s">
        <v>851</v>
      </c>
      <c r="E492" s="4" t="s">
        <v>208</v>
      </c>
      <c r="F492" s="8" t="str">
        <f>IF('Self-Assessment_Cases'!I492="Implemented","5",IF('Self-Assessment_Cases'!I492="In Progress - Administrative","3",IF('Self-Assessment_Cases'!I492="In Progress - Configuration","3",IF('Self-Assessment_Cases'!I492="In Progress - Installation/Upgrade","3",IF('Self-Assessment_Cases'!I492="Not Implemented - Compensating Control","5",IF('Self-Assessment_Cases'!I492="Not Implemented - Risk Negligible","5",IF('Self-Assessment_Cases'!I492="Not Implemented - Risk Accepted","1",IF('Self-Assessment_Cases'!I492="Not Implemented - Planned","1",IF('Self-Assessment_Cases'!I492="Not Implemented - Unplanned","1",".")))))))))</f>
        <v>.</v>
      </c>
      <c r="G492" s="75" t="s">
        <v>1412</v>
      </c>
      <c r="H492" s="14"/>
      <c r="I492" s="92"/>
      <c r="J492" s="11"/>
      <c r="K492" s="75"/>
    </row>
    <row r="493" spans="1:11" ht="42" x14ac:dyDescent="0.2">
      <c r="A493" s="72" t="s">
        <v>209</v>
      </c>
      <c r="B493" s="9" t="s">
        <v>310</v>
      </c>
      <c r="C493" s="89" t="s">
        <v>245</v>
      </c>
      <c r="D493" s="89" t="s">
        <v>919</v>
      </c>
      <c r="E493" s="4" t="s">
        <v>208</v>
      </c>
      <c r="F493" s="8" t="str">
        <f>IF('Self-Assessment_Cases'!I493="Implemented","5",IF('Self-Assessment_Cases'!I493="In Progress - Administrative","3",IF('Self-Assessment_Cases'!I493="In Progress - Configuration","3",IF('Self-Assessment_Cases'!I493="In Progress - Installation/Upgrade","3",IF('Self-Assessment_Cases'!I493="Not Implemented - Compensating Control","5",IF('Self-Assessment_Cases'!I493="Not Implemented - Risk Negligible","5",IF('Self-Assessment_Cases'!I493="Not Implemented - Risk Accepted","1",IF('Self-Assessment_Cases'!I493="Not Implemented - Planned","1",IF('Self-Assessment_Cases'!I493="Not Implemented - Unplanned","1",".")))))))))</f>
        <v>.</v>
      </c>
      <c r="G493" s="75" t="s">
        <v>1413</v>
      </c>
      <c r="H493" s="14"/>
      <c r="I493" s="92"/>
      <c r="J493" s="11"/>
      <c r="K493" s="75"/>
    </row>
    <row r="494" spans="1:11" ht="42" x14ac:dyDescent="0.2">
      <c r="A494" s="72" t="s">
        <v>209</v>
      </c>
      <c r="B494" s="9" t="s">
        <v>310</v>
      </c>
      <c r="C494" s="89" t="s">
        <v>245</v>
      </c>
      <c r="D494" s="89" t="s">
        <v>972</v>
      </c>
      <c r="E494" s="4" t="s">
        <v>208</v>
      </c>
      <c r="F494" s="8" t="str">
        <f>IF('Self-Assessment_Cases'!I494="Implemented","5",IF('Self-Assessment_Cases'!I494="In Progress - Administrative","3",IF('Self-Assessment_Cases'!I494="In Progress - Configuration","3",IF('Self-Assessment_Cases'!I494="In Progress - Installation/Upgrade","3",IF('Self-Assessment_Cases'!I494="Not Implemented - Compensating Control","5",IF('Self-Assessment_Cases'!I494="Not Implemented - Risk Negligible","5",IF('Self-Assessment_Cases'!I494="Not Implemented - Risk Accepted","1",IF('Self-Assessment_Cases'!I494="Not Implemented - Planned","1",IF('Self-Assessment_Cases'!I494="Not Implemented - Unplanned","1",".")))))))))</f>
        <v>.</v>
      </c>
      <c r="G494" s="75" t="s">
        <v>1414</v>
      </c>
      <c r="H494" s="14"/>
      <c r="I494" s="92"/>
      <c r="J494" s="11"/>
      <c r="K494" s="75"/>
    </row>
    <row r="495" spans="1:11" ht="42" x14ac:dyDescent="0.2">
      <c r="A495" s="72" t="s">
        <v>209</v>
      </c>
      <c r="B495" s="9" t="s">
        <v>310</v>
      </c>
      <c r="C495" s="89" t="s">
        <v>245</v>
      </c>
      <c r="D495" s="89" t="s">
        <v>1009</v>
      </c>
      <c r="E495" s="4" t="s">
        <v>208</v>
      </c>
      <c r="F495" s="8" t="str">
        <f>IF('Self-Assessment_Cases'!I495="Implemented","5",IF('Self-Assessment_Cases'!I495="In Progress - Administrative","3",IF('Self-Assessment_Cases'!I495="In Progress - Configuration","3",IF('Self-Assessment_Cases'!I495="In Progress - Installation/Upgrade","3",IF('Self-Assessment_Cases'!I495="Not Implemented - Compensating Control","5",IF('Self-Assessment_Cases'!I495="Not Implemented - Risk Negligible","5",IF('Self-Assessment_Cases'!I495="Not Implemented - Risk Accepted","1",IF('Self-Assessment_Cases'!I495="Not Implemented - Planned","1",IF('Self-Assessment_Cases'!I495="Not Implemented - Unplanned","1",".")))))))))</f>
        <v>.</v>
      </c>
      <c r="G495" s="80" t="s">
        <v>1415</v>
      </c>
      <c r="H495" s="14"/>
      <c r="I495" s="92"/>
      <c r="J495" s="11"/>
      <c r="K495" s="75"/>
    </row>
    <row r="496" spans="1:11" ht="42" x14ac:dyDescent="0.2">
      <c r="A496" s="72" t="s">
        <v>209</v>
      </c>
      <c r="B496" s="9" t="s">
        <v>310</v>
      </c>
      <c r="C496" s="89" t="s">
        <v>245</v>
      </c>
      <c r="D496" s="89" t="s">
        <v>1035</v>
      </c>
      <c r="E496" s="4" t="s">
        <v>208</v>
      </c>
      <c r="F496" s="8" t="str">
        <f>IF('Self-Assessment_Cases'!I496="Implemented","5",IF('Self-Assessment_Cases'!I496="In Progress - Administrative","3",IF('Self-Assessment_Cases'!I496="In Progress - Configuration","3",IF('Self-Assessment_Cases'!I496="In Progress - Installation/Upgrade","3",IF('Self-Assessment_Cases'!I496="Not Implemented - Compensating Control","5",IF('Self-Assessment_Cases'!I496="Not Implemented - Risk Negligible","5",IF('Self-Assessment_Cases'!I496="Not Implemented - Risk Accepted","1",IF('Self-Assessment_Cases'!I496="Not Implemented - Planned","1",IF('Self-Assessment_Cases'!I496="Not Implemented - Unplanned","1",".")))))))))</f>
        <v>.</v>
      </c>
      <c r="G496" s="80" t="s">
        <v>1416</v>
      </c>
      <c r="H496" s="14"/>
      <c r="I496" s="92"/>
      <c r="J496" s="11"/>
      <c r="K496" s="75"/>
    </row>
    <row r="497" spans="1:11" ht="42" x14ac:dyDescent="0.2">
      <c r="A497" s="72" t="s">
        <v>209</v>
      </c>
      <c r="B497" s="9" t="s">
        <v>310</v>
      </c>
      <c r="C497" s="89" t="s">
        <v>245</v>
      </c>
      <c r="D497" s="89" t="s">
        <v>1060</v>
      </c>
      <c r="E497" s="4" t="s">
        <v>208</v>
      </c>
      <c r="F497" s="8" t="str">
        <f>IF('Self-Assessment_Cases'!I497="Implemented","5",IF('Self-Assessment_Cases'!I497="In Progress - Administrative","3",IF('Self-Assessment_Cases'!I497="In Progress - Configuration","3",IF('Self-Assessment_Cases'!I497="In Progress - Installation/Upgrade","3",IF('Self-Assessment_Cases'!I497="Not Implemented - Compensating Control","5",IF('Self-Assessment_Cases'!I497="Not Implemented - Risk Negligible","5",IF('Self-Assessment_Cases'!I497="Not Implemented - Risk Accepted","1",IF('Self-Assessment_Cases'!I497="Not Implemented - Planned","1",IF('Self-Assessment_Cases'!I497="Not Implemented - Unplanned","1",".")))))))))</f>
        <v>.</v>
      </c>
      <c r="G497" s="75" t="s">
        <v>1417</v>
      </c>
      <c r="H497" s="14"/>
      <c r="I497" s="92"/>
      <c r="J497" s="11"/>
      <c r="K497" s="75"/>
    </row>
    <row r="498" spans="1:11" ht="56" x14ac:dyDescent="0.2">
      <c r="A498" s="72" t="s">
        <v>209</v>
      </c>
      <c r="B498" s="9" t="s">
        <v>310</v>
      </c>
      <c r="C498" s="89" t="s">
        <v>245</v>
      </c>
      <c r="D498" s="89" t="s">
        <v>1080</v>
      </c>
      <c r="E498" s="4" t="s">
        <v>208</v>
      </c>
      <c r="F498" s="8" t="str">
        <f>IF('Self-Assessment_Cases'!I498="Implemented","5",IF('Self-Assessment_Cases'!I498="In Progress - Administrative","3",IF('Self-Assessment_Cases'!I498="In Progress - Configuration","3",IF('Self-Assessment_Cases'!I498="In Progress - Installation/Upgrade","3",IF('Self-Assessment_Cases'!I498="Not Implemented - Compensating Control","5",IF('Self-Assessment_Cases'!I498="Not Implemented - Risk Negligible","5",IF('Self-Assessment_Cases'!I498="Not Implemented - Risk Accepted","1",IF('Self-Assessment_Cases'!I498="Not Implemented - Planned","1",IF('Self-Assessment_Cases'!I498="Not Implemented - Unplanned","1",".")))))))))</f>
        <v>.</v>
      </c>
      <c r="G498" s="75" t="s">
        <v>1418</v>
      </c>
      <c r="H498" s="14"/>
      <c r="I498" s="92"/>
      <c r="J498" s="11"/>
      <c r="K498" s="75"/>
    </row>
    <row r="499" spans="1:11" ht="42" x14ac:dyDescent="0.2">
      <c r="A499" s="72" t="s">
        <v>209</v>
      </c>
      <c r="B499" s="9" t="s">
        <v>310</v>
      </c>
      <c r="C499" s="89" t="s">
        <v>245</v>
      </c>
      <c r="D499" s="89" t="s">
        <v>1099</v>
      </c>
      <c r="E499" s="4" t="s">
        <v>208</v>
      </c>
      <c r="F499" s="8" t="str">
        <f>IF('Self-Assessment_Cases'!I499="Implemented","5",IF('Self-Assessment_Cases'!I499="In Progress - Administrative","3",IF('Self-Assessment_Cases'!I499="In Progress - Configuration","3",IF('Self-Assessment_Cases'!I499="In Progress - Installation/Upgrade","3",IF('Self-Assessment_Cases'!I499="Not Implemented - Compensating Control","5",IF('Self-Assessment_Cases'!I499="Not Implemented - Risk Negligible","5",IF('Self-Assessment_Cases'!I499="Not Implemented - Risk Accepted","1",IF('Self-Assessment_Cases'!I499="Not Implemented - Planned","1",IF('Self-Assessment_Cases'!I499="Not Implemented - Unplanned","1",".")))))))))</f>
        <v>.</v>
      </c>
      <c r="G499" s="75" t="s">
        <v>389</v>
      </c>
      <c r="H499" s="14"/>
      <c r="I499" s="92"/>
      <c r="J499" s="11"/>
      <c r="K499" s="75"/>
    </row>
    <row r="500" spans="1:11" ht="42" x14ac:dyDescent="0.2">
      <c r="A500" s="72" t="s">
        <v>209</v>
      </c>
      <c r="B500" s="9" t="s">
        <v>310</v>
      </c>
      <c r="C500" s="89" t="s">
        <v>245</v>
      </c>
      <c r="D500" s="89" t="s">
        <v>1410</v>
      </c>
      <c r="E500" s="4" t="s">
        <v>208</v>
      </c>
      <c r="F500" s="8" t="str">
        <f>IF('Self-Assessment_Cases'!I500="Implemented","5",IF('Self-Assessment_Cases'!I500="In Progress - Administrative","3",IF('Self-Assessment_Cases'!I500="In Progress - Configuration","3",IF('Self-Assessment_Cases'!I500="In Progress - Installation/Upgrade","3",IF('Self-Assessment_Cases'!I500="Not Implemented - Compensating Control","5",IF('Self-Assessment_Cases'!I500="Not Implemented - Risk Negligible","5",IF('Self-Assessment_Cases'!I500="Not Implemented - Risk Accepted","1",IF('Self-Assessment_Cases'!I500="Not Implemented - Planned","1",IF('Self-Assessment_Cases'!I500="Not Implemented - Unplanned","1",".")))))))))</f>
        <v>.</v>
      </c>
      <c r="G500" s="75" t="s">
        <v>390</v>
      </c>
      <c r="H500" s="14"/>
      <c r="I500" s="92"/>
      <c r="J500" s="11"/>
      <c r="K500" s="75"/>
    </row>
    <row r="501" spans="1:11" ht="84" x14ac:dyDescent="0.2">
      <c r="A501" s="72" t="s">
        <v>211</v>
      </c>
      <c r="B501" s="9" t="s">
        <v>337</v>
      </c>
      <c r="C501" s="89" t="s">
        <v>245</v>
      </c>
      <c r="D501" s="89" t="s">
        <v>1233</v>
      </c>
      <c r="E501" s="4" t="s">
        <v>210</v>
      </c>
      <c r="F501" s="8" t="str">
        <f>IF('Self-Assessment_Cases'!I501="Implemented","5",IF('Self-Assessment_Cases'!I501="In Progress - Administrative","3",IF('Self-Assessment_Cases'!I501="In Progress - Configuration","3",IF('Self-Assessment_Cases'!I501="In Progress - Installation/Upgrade","3",IF('Self-Assessment_Cases'!I501="Not Implemented - Compensating Control","5",IF('Self-Assessment_Cases'!I501="Not Implemented - Risk Negligible","5",IF('Self-Assessment_Cases'!I501="Not Implemented - Risk Accepted","1",IF('Self-Assessment_Cases'!I501="Not Implemented - Planned","1",IF('Self-Assessment_Cases'!I501="Not Implemented - Unplanned","1",".")))))))))</f>
        <v>.</v>
      </c>
      <c r="G501" s="72" t="s">
        <v>344</v>
      </c>
      <c r="H501" s="14"/>
      <c r="I501" s="92"/>
      <c r="J501" s="11"/>
      <c r="K501" s="72"/>
    </row>
    <row r="502" spans="1:11" ht="28" x14ac:dyDescent="0.2">
      <c r="A502" s="72" t="s">
        <v>213</v>
      </c>
      <c r="B502" s="9" t="s">
        <v>311</v>
      </c>
      <c r="C502" s="89" t="s">
        <v>245</v>
      </c>
      <c r="D502" s="89" t="s">
        <v>1234</v>
      </c>
      <c r="E502" s="4" t="s">
        <v>212</v>
      </c>
      <c r="F502" s="8" t="str">
        <f>IF('Self-Assessment_Cases'!I502="Implemented","5",IF('Self-Assessment_Cases'!I502="In Progress - Administrative","3",IF('Self-Assessment_Cases'!I502="In Progress - Configuration","3",IF('Self-Assessment_Cases'!I502="In Progress - Installation/Upgrade","3",IF('Self-Assessment_Cases'!I502="Not Implemented - Compensating Control","5",IF('Self-Assessment_Cases'!I502="Not Implemented - Risk Negligible","5",IF('Self-Assessment_Cases'!I502="Not Implemented - Risk Accepted","1",IF('Self-Assessment_Cases'!I502="Not Implemented - Planned","1",IF('Self-Assessment_Cases'!I502="Not Implemented - Unplanned","1",".")))))))))</f>
        <v>.</v>
      </c>
      <c r="G502" s="11" t="s">
        <v>406</v>
      </c>
      <c r="H502" s="14"/>
      <c r="I502" s="92"/>
      <c r="J502" s="11"/>
      <c r="K502" s="11"/>
    </row>
    <row r="503" spans="1:11" ht="28" x14ac:dyDescent="0.2">
      <c r="A503" s="72" t="s">
        <v>213</v>
      </c>
      <c r="B503" s="9" t="s">
        <v>311</v>
      </c>
      <c r="C503" s="89" t="s">
        <v>245</v>
      </c>
      <c r="D503" s="89" t="s">
        <v>852</v>
      </c>
      <c r="E503" s="4" t="s">
        <v>212</v>
      </c>
      <c r="F503" s="8" t="str">
        <f>IF('Self-Assessment_Cases'!I503="Implemented","5",IF('Self-Assessment_Cases'!I503="In Progress - Administrative","3",IF('Self-Assessment_Cases'!I503="In Progress - Configuration","3",IF('Self-Assessment_Cases'!I503="In Progress - Installation/Upgrade","3",IF('Self-Assessment_Cases'!I503="Not Implemented - Compensating Control","5",IF('Self-Assessment_Cases'!I503="Not Implemented - Risk Negligible","5",IF('Self-Assessment_Cases'!I503="Not Implemented - Risk Accepted","1",IF('Self-Assessment_Cases'!I503="Not Implemented - Planned","1",IF('Self-Assessment_Cases'!I503="Not Implemented - Unplanned","1",".")))))))))</f>
        <v>.</v>
      </c>
      <c r="G503" s="11" t="s">
        <v>407</v>
      </c>
      <c r="H503" s="14"/>
      <c r="I503" s="92"/>
      <c r="J503" s="11"/>
      <c r="K503" s="11"/>
    </row>
    <row r="504" spans="1:11" ht="42" x14ac:dyDescent="0.2">
      <c r="A504" s="72" t="s">
        <v>213</v>
      </c>
      <c r="B504" s="9" t="s">
        <v>311</v>
      </c>
      <c r="C504" s="89" t="s">
        <v>245</v>
      </c>
      <c r="D504" s="89" t="s">
        <v>920</v>
      </c>
      <c r="E504" s="4" t="s">
        <v>212</v>
      </c>
      <c r="F504" s="8" t="str">
        <f>IF('Self-Assessment_Cases'!I504="Implemented","5",IF('Self-Assessment_Cases'!I504="In Progress - Administrative","3",IF('Self-Assessment_Cases'!I504="In Progress - Configuration","3",IF('Self-Assessment_Cases'!I504="In Progress - Installation/Upgrade","3",IF('Self-Assessment_Cases'!I504="Not Implemented - Compensating Control","5",IF('Self-Assessment_Cases'!I504="Not Implemented - Risk Negligible","5",IF('Self-Assessment_Cases'!I504="Not Implemented - Risk Accepted","1",IF('Self-Assessment_Cases'!I504="Not Implemented - Planned","1",IF('Self-Assessment_Cases'!I504="Not Implemented - Unplanned","1",".")))))))))</f>
        <v>.</v>
      </c>
      <c r="G504" s="24" t="s">
        <v>741</v>
      </c>
      <c r="H504" s="14"/>
      <c r="I504" s="92"/>
      <c r="J504" s="11"/>
      <c r="K504" s="11"/>
    </row>
    <row r="505" spans="1:11" ht="28" x14ac:dyDescent="0.2">
      <c r="A505" s="72" t="s">
        <v>213</v>
      </c>
      <c r="B505" s="9" t="s">
        <v>311</v>
      </c>
      <c r="C505" s="89" t="s">
        <v>245</v>
      </c>
      <c r="D505" s="89" t="s">
        <v>973</v>
      </c>
      <c r="E505" s="4" t="s">
        <v>212</v>
      </c>
      <c r="F505" s="8" t="str">
        <f>IF('Self-Assessment_Cases'!I505="Implemented","5",IF('Self-Assessment_Cases'!I505="In Progress - Administrative","3",IF('Self-Assessment_Cases'!I505="In Progress - Configuration","3",IF('Self-Assessment_Cases'!I505="In Progress - Installation/Upgrade","3",IF('Self-Assessment_Cases'!I505="Not Implemented - Compensating Control","5",IF('Self-Assessment_Cases'!I505="Not Implemented - Risk Negligible","5",IF('Self-Assessment_Cases'!I505="Not Implemented - Risk Accepted","1",IF('Self-Assessment_Cases'!I505="Not Implemented - Planned","1",IF('Self-Assessment_Cases'!I505="Not Implemented - Unplanned","1",".")))))))))</f>
        <v>.</v>
      </c>
      <c r="G505" s="24" t="s">
        <v>408</v>
      </c>
      <c r="H505" s="14"/>
      <c r="I505" s="92"/>
      <c r="J505" s="11"/>
      <c r="K505" s="11"/>
    </row>
    <row r="506" spans="1:11" ht="28" x14ac:dyDescent="0.2">
      <c r="A506" s="72" t="s">
        <v>213</v>
      </c>
      <c r="B506" s="9" t="s">
        <v>311</v>
      </c>
      <c r="C506" s="89" t="s">
        <v>245</v>
      </c>
      <c r="D506" s="89" t="s">
        <v>1010</v>
      </c>
      <c r="E506" s="4" t="s">
        <v>212</v>
      </c>
      <c r="F506" s="8" t="str">
        <f>IF('Self-Assessment_Cases'!I506="Implemented","5",IF('Self-Assessment_Cases'!I506="In Progress - Administrative","3",IF('Self-Assessment_Cases'!I506="In Progress - Configuration","3",IF('Self-Assessment_Cases'!I506="In Progress - Installation/Upgrade","3",IF('Self-Assessment_Cases'!I506="Not Implemented - Compensating Control","5",IF('Self-Assessment_Cases'!I506="Not Implemented - Risk Negligible","5",IF('Self-Assessment_Cases'!I506="Not Implemented - Risk Accepted","1",IF('Self-Assessment_Cases'!I506="Not Implemented - Planned","1",IF('Self-Assessment_Cases'!I506="Not Implemented - Unplanned","1",".")))))))))</f>
        <v>.</v>
      </c>
      <c r="G506" s="24" t="s">
        <v>409</v>
      </c>
      <c r="H506" s="14"/>
      <c r="I506" s="92"/>
      <c r="J506" s="11"/>
      <c r="K506" s="11"/>
    </row>
    <row r="507" spans="1:11" ht="28" x14ac:dyDescent="0.2">
      <c r="A507" s="72" t="s">
        <v>213</v>
      </c>
      <c r="B507" s="9" t="s">
        <v>311</v>
      </c>
      <c r="C507" s="89" t="s">
        <v>245</v>
      </c>
      <c r="D507" s="89" t="s">
        <v>1036</v>
      </c>
      <c r="E507" s="4" t="s">
        <v>212</v>
      </c>
      <c r="F507" s="8" t="str">
        <f>IF('Self-Assessment_Cases'!I507="Implemented","5",IF('Self-Assessment_Cases'!I507="In Progress - Administrative","3",IF('Self-Assessment_Cases'!I507="In Progress - Configuration","3",IF('Self-Assessment_Cases'!I507="In Progress - Installation/Upgrade","3",IF('Self-Assessment_Cases'!I507="Not Implemented - Compensating Control","5",IF('Self-Assessment_Cases'!I507="Not Implemented - Risk Negligible","5",IF('Self-Assessment_Cases'!I507="Not Implemented - Risk Accepted","1",IF('Self-Assessment_Cases'!I507="Not Implemented - Planned","1",IF('Self-Assessment_Cases'!I507="Not Implemented - Unplanned","1",".")))))))))</f>
        <v>.</v>
      </c>
      <c r="G507" s="24" t="s">
        <v>410</v>
      </c>
      <c r="H507" s="14"/>
      <c r="I507" s="92"/>
      <c r="J507" s="11"/>
      <c r="K507" s="11"/>
    </row>
    <row r="508" spans="1:11" ht="28" x14ac:dyDescent="0.2">
      <c r="A508" s="72" t="s">
        <v>215</v>
      </c>
      <c r="B508" s="9" t="s">
        <v>312</v>
      </c>
      <c r="C508" s="89" t="s">
        <v>245</v>
      </c>
      <c r="D508" s="89" t="s">
        <v>1235</v>
      </c>
      <c r="E508" s="4" t="s">
        <v>214</v>
      </c>
      <c r="F508" s="8" t="str">
        <f>IF('Self-Assessment_Cases'!I508="Implemented","5",IF('Self-Assessment_Cases'!I508="In Progress - Administrative","3",IF('Self-Assessment_Cases'!I508="In Progress - Configuration","3",IF('Self-Assessment_Cases'!I508="In Progress - Installation/Upgrade","3",IF('Self-Assessment_Cases'!I508="Not Implemented - Compensating Control","5",IF('Self-Assessment_Cases'!I508="Not Implemented - Risk Negligible","5",IF('Self-Assessment_Cases'!I508="Not Implemented - Risk Accepted","1",IF('Self-Assessment_Cases'!I508="Not Implemented - Planned","1",IF('Self-Assessment_Cases'!I508="Not Implemented - Unplanned","1",".")))))))))</f>
        <v>.</v>
      </c>
      <c r="G508" s="80" t="s">
        <v>431</v>
      </c>
      <c r="H508" s="14"/>
      <c r="I508" s="92"/>
      <c r="J508" s="11"/>
      <c r="K508" s="75"/>
    </row>
    <row r="509" spans="1:11" ht="42" x14ac:dyDescent="0.2">
      <c r="A509" s="72" t="s">
        <v>215</v>
      </c>
      <c r="B509" s="9" t="s">
        <v>312</v>
      </c>
      <c r="C509" s="89" t="s">
        <v>245</v>
      </c>
      <c r="D509" s="89" t="s">
        <v>853</v>
      </c>
      <c r="E509" s="4" t="s">
        <v>214</v>
      </c>
      <c r="F509" s="8" t="str">
        <f>IF('Self-Assessment_Cases'!I509="Implemented","5",IF('Self-Assessment_Cases'!I509="In Progress - Administrative","3",IF('Self-Assessment_Cases'!I509="In Progress - Configuration","3",IF('Self-Assessment_Cases'!I509="In Progress - Installation/Upgrade","3",IF('Self-Assessment_Cases'!I509="Not Implemented - Compensating Control","5",IF('Self-Assessment_Cases'!I509="Not Implemented - Risk Negligible","5",IF('Self-Assessment_Cases'!I509="Not Implemented - Risk Accepted","1",IF('Self-Assessment_Cases'!I509="Not Implemented - Planned","1",IF('Self-Assessment_Cases'!I509="Not Implemented - Unplanned","1",".")))))))))</f>
        <v>.</v>
      </c>
      <c r="G509" s="80" t="s">
        <v>730</v>
      </c>
      <c r="H509" s="14"/>
      <c r="I509" s="92"/>
      <c r="J509" s="11"/>
      <c r="K509" s="75"/>
    </row>
    <row r="510" spans="1:11" ht="28" x14ac:dyDescent="0.2">
      <c r="A510" s="72" t="s">
        <v>215</v>
      </c>
      <c r="B510" s="9" t="s">
        <v>312</v>
      </c>
      <c r="C510" s="89" t="s">
        <v>245</v>
      </c>
      <c r="D510" s="89" t="s">
        <v>921</v>
      </c>
      <c r="E510" s="4" t="s">
        <v>214</v>
      </c>
      <c r="F510" s="8" t="str">
        <f>IF('Self-Assessment_Cases'!I510="Implemented","5",IF('Self-Assessment_Cases'!I510="In Progress - Administrative","3",IF('Self-Assessment_Cases'!I510="In Progress - Configuration","3",IF('Self-Assessment_Cases'!I510="In Progress - Installation/Upgrade","3",IF('Self-Assessment_Cases'!I510="Not Implemented - Compensating Control","5",IF('Self-Assessment_Cases'!I510="Not Implemented - Risk Negligible","5",IF('Self-Assessment_Cases'!I510="Not Implemented - Risk Accepted","1",IF('Self-Assessment_Cases'!I510="Not Implemented - Planned","1",IF('Self-Assessment_Cases'!I510="Not Implemented - Unplanned","1",".")))))))))</f>
        <v>.</v>
      </c>
      <c r="G510" s="80" t="s">
        <v>432</v>
      </c>
      <c r="H510" s="14"/>
      <c r="I510" s="92"/>
      <c r="J510" s="11"/>
      <c r="K510" s="75"/>
    </row>
    <row r="511" spans="1:11" ht="42" x14ac:dyDescent="0.2">
      <c r="A511" s="72" t="s">
        <v>217</v>
      </c>
      <c r="B511" s="9" t="s">
        <v>313</v>
      </c>
      <c r="C511" s="89" t="s">
        <v>245</v>
      </c>
      <c r="D511" s="89" t="s">
        <v>1236</v>
      </c>
      <c r="E511" s="4" t="s">
        <v>216</v>
      </c>
      <c r="F511" s="8" t="str">
        <f>IF('Self-Assessment_Cases'!I511="Implemented","5",IF('Self-Assessment_Cases'!I511="In Progress - Administrative","3",IF('Self-Assessment_Cases'!I511="In Progress - Configuration","3",IF('Self-Assessment_Cases'!I511="In Progress - Installation/Upgrade","3",IF('Self-Assessment_Cases'!I511="Not Implemented - Compensating Control","5",IF('Self-Assessment_Cases'!I511="Not Implemented - Risk Negligible","5",IF('Self-Assessment_Cases'!I511="Not Implemented - Risk Accepted","1",IF('Self-Assessment_Cases'!I511="Not Implemented - Planned","1",IF('Self-Assessment_Cases'!I511="Not Implemented - Unplanned","1",".")))))))))</f>
        <v>.</v>
      </c>
      <c r="G511" s="80" t="s">
        <v>433</v>
      </c>
      <c r="H511" s="14"/>
      <c r="I511" s="92"/>
      <c r="J511" s="11"/>
      <c r="K511" s="75"/>
    </row>
    <row r="512" spans="1:11" ht="42" x14ac:dyDescent="0.2">
      <c r="A512" s="72" t="s">
        <v>217</v>
      </c>
      <c r="B512" s="9" t="s">
        <v>313</v>
      </c>
      <c r="C512" s="89" t="s">
        <v>245</v>
      </c>
      <c r="D512" s="89" t="s">
        <v>854</v>
      </c>
      <c r="E512" s="4" t="s">
        <v>216</v>
      </c>
      <c r="F512" s="8" t="str">
        <f>IF('Self-Assessment_Cases'!I512="Implemented","5",IF('Self-Assessment_Cases'!I512="In Progress - Administrative","3",IF('Self-Assessment_Cases'!I512="In Progress - Configuration","3",IF('Self-Assessment_Cases'!I512="In Progress - Installation/Upgrade","3",IF('Self-Assessment_Cases'!I512="Not Implemented - Compensating Control","5",IF('Self-Assessment_Cases'!I512="Not Implemented - Risk Negligible","5",IF('Self-Assessment_Cases'!I512="Not Implemented - Risk Accepted","1",IF('Self-Assessment_Cases'!I512="Not Implemented - Planned","1",IF('Self-Assessment_Cases'!I512="Not Implemented - Unplanned","1",".")))))))))</f>
        <v>.</v>
      </c>
      <c r="G512" s="80" t="s">
        <v>434</v>
      </c>
      <c r="H512" s="14"/>
      <c r="I512" s="92"/>
      <c r="J512" s="11"/>
      <c r="K512" s="75"/>
    </row>
    <row r="513" spans="1:11" ht="42" x14ac:dyDescent="0.2">
      <c r="A513" s="72" t="s">
        <v>217</v>
      </c>
      <c r="B513" s="9" t="s">
        <v>313</v>
      </c>
      <c r="C513" s="89" t="s">
        <v>245</v>
      </c>
      <c r="D513" s="89" t="s">
        <v>922</v>
      </c>
      <c r="E513" s="4" t="s">
        <v>216</v>
      </c>
      <c r="F513" s="8" t="str">
        <f>IF('Self-Assessment_Cases'!I513="Implemented","5",IF('Self-Assessment_Cases'!I513="In Progress - Administrative","3",IF('Self-Assessment_Cases'!I513="In Progress - Configuration","3",IF('Self-Assessment_Cases'!I513="In Progress - Installation/Upgrade","3",IF('Self-Assessment_Cases'!I513="Not Implemented - Compensating Control","5",IF('Self-Assessment_Cases'!I513="Not Implemented - Risk Negligible","5",IF('Self-Assessment_Cases'!I513="Not Implemented - Risk Accepted","1",IF('Self-Assessment_Cases'!I513="Not Implemented - Planned","1",IF('Self-Assessment_Cases'!I513="Not Implemented - Unplanned","1",".")))))))))</f>
        <v>.</v>
      </c>
      <c r="G513" s="75" t="s">
        <v>435</v>
      </c>
      <c r="H513" s="14"/>
      <c r="I513" s="92"/>
      <c r="J513" s="11"/>
      <c r="K513" s="75"/>
    </row>
    <row r="514" spans="1:11" ht="56" x14ac:dyDescent="0.2">
      <c r="A514" s="72" t="s">
        <v>217</v>
      </c>
      <c r="B514" s="9" t="s">
        <v>313</v>
      </c>
      <c r="C514" s="89" t="s">
        <v>245</v>
      </c>
      <c r="D514" s="89" t="s">
        <v>974</v>
      </c>
      <c r="E514" s="4" t="s">
        <v>216</v>
      </c>
      <c r="F514" s="8" t="str">
        <f>IF('Self-Assessment_Cases'!I514="Implemented","5",IF('Self-Assessment_Cases'!I514="In Progress - Administrative","3",IF('Self-Assessment_Cases'!I514="In Progress - Configuration","3",IF('Self-Assessment_Cases'!I514="In Progress - Installation/Upgrade","3",IF('Self-Assessment_Cases'!I514="Not Implemented - Compensating Control","5",IF('Self-Assessment_Cases'!I514="Not Implemented - Risk Negligible","5",IF('Self-Assessment_Cases'!I514="Not Implemented - Risk Accepted","1",IF('Self-Assessment_Cases'!I514="Not Implemented - Planned","1",IF('Self-Assessment_Cases'!I514="Not Implemented - Unplanned","1",".")))))))))</f>
        <v>.</v>
      </c>
      <c r="G514" s="75" t="s">
        <v>436</v>
      </c>
      <c r="H514" s="14"/>
      <c r="I514" s="92"/>
      <c r="J514" s="11"/>
      <c r="K514" s="75"/>
    </row>
    <row r="515" spans="1:11" s="1" customFormat="1" ht="126" x14ac:dyDescent="0.2">
      <c r="A515" s="4" t="s">
        <v>219</v>
      </c>
      <c r="B515" s="9" t="s">
        <v>343</v>
      </c>
      <c r="C515" s="89" t="s">
        <v>247</v>
      </c>
      <c r="D515" s="89" t="s">
        <v>1237</v>
      </c>
      <c r="E515" s="4" t="s">
        <v>218</v>
      </c>
      <c r="F515" s="8" t="str">
        <f>IF('Self-Assessment_Cases'!I515="Implemented","5",IF('Self-Assessment_Cases'!I515="In Progress - Administrative","3",IF('Self-Assessment_Cases'!I515="In Progress - Configuration","3",IF('Self-Assessment_Cases'!I515="In Progress - Installation/Upgrade","3",IF('Self-Assessment_Cases'!I515="Not Implemented - Compensating Control","5",IF('Self-Assessment_Cases'!I515="Not Implemented - Risk Negligible","5",IF('Self-Assessment_Cases'!I515="Not Implemented - Risk Accepted","1",IF('Self-Assessment_Cases'!I515="Not Implemented - Planned","1",IF('Self-Assessment_Cases'!I515="Not Implemented - Unplanned","1",".")))))))))</f>
        <v>.</v>
      </c>
      <c r="G515" s="9" t="s">
        <v>573</v>
      </c>
      <c r="H515" s="14" t="s">
        <v>574</v>
      </c>
      <c r="I515" s="92"/>
      <c r="J515" s="14"/>
      <c r="K515" s="9"/>
    </row>
    <row r="516" spans="1:11" s="1" customFormat="1" ht="140" x14ac:dyDescent="0.2">
      <c r="A516" s="4" t="s">
        <v>219</v>
      </c>
      <c r="B516" s="9" t="s">
        <v>343</v>
      </c>
      <c r="C516" s="89" t="s">
        <v>247</v>
      </c>
      <c r="D516" s="89" t="s">
        <v>855</v>
      </c>
      <c r="E516" s="4" t="s">
        <v>218</v>
      </c>
      <c r="F516" s="8" t="str">
        <f>IF('Self-Assessment_Cases'!I516="Implemented","5",IF('Self-Assessment_Cases'!I516="In Progress - Administrative","3",IF('Self-Assessment_Cases'!I516="In Progress - Configuration","3",IF('Self-Assessment_Cases'!I516="In Progress - Installation/Upgrade","3",IF('Self-Assessment_Cases'!I516="Not Implemented - Compensating Control","5",IF('Self-Assessment_Cases'!I516="Not Implemented - Risk Negligible","5",IF('Self-Assessment_Cases'!I516="Not Implemented - Risk Accepted","1",IF('Self-Assessment_Cases'!I516="Not Implemented - Planned","1",IF('Self-Assessment_Cases'!I516="Not Implemented - Unplanned","1",".")))))))))</f>
        <v>.</v>
      </c>
      <c r="G516" s="9" t="s">
        <v>575</v>
      </c>
      <c r="H516" s="14" t="s">
        <v>576</v>
      </c>
      <c r="I516" s="92"/>
      <c r="J516" s="14"/>
      <c r="K516" s="9"/>
    </row>
    <row r="517" spans="1:11" s="1" customFormat="1" ht="16" x14ac:dyDescent="0.2">
      <c r="A517" s="4"/>
      <c r="B517" s="9"/>
      <c r="C517" s="89"/>
      <c r="D517" s="89"/>
      <c r="E517" s="4"/>
      <c r="F517" s="8" t="str">
        <f>IF('Self-Assessment_Cases'!I517="Implemented","5",IF('Self-Assessment_Cases'!I517="In Progress - Administrative","3",IF('Self-Assessment_Cases'!I517="In Progress - Configuration","3",IF('Self-Assessment_Cases'!I517="In Progress - Installation/Upgrade","3",IF('Self-Assessment_Cases'!I517="Not Implemented - Compensating Control","5",IF('Self-Assessment_Cases'!I517="Not Implemented - Risk Negligible","5",IF('Self-Assessment_Cases'!I517="Not Implemented - Risk Accepted","1",IF('Self-Assessment_Cases'!I517="Not Implemented - Planned","1",IF('Self-Assessment_Cases'!I517="Not Implemented - Unplanned","1",".")))))))))</f>
        <v>.</v>
      </c>
      <c r="G517" s="16"/>
      <c r="H517" s="14"/>
      <c r="I517" s="92"/>
      <c r="J517" s="14"/>
      <c r="K517" s="8"/>
    </row>
    <row r="518" spans="1:11" s="1" customFormat="1" ht="16" x14ac:dyDescent="0.2">
      <c r="A518" s="4"/>
      <c r="B518" s="9"/>
      <c r="C518" s="89"/>
      <c r="D518" s="89"/>
      <c r="E518" s="4"/>
      <c r="F518" s="8" t="str">
        <f>IF('Self-Assessment_Cases'!I518="Implemented","5",IF('Self-Assessment_Cases'!I518="In Progress - Administrative","3",IF('Self-Assessment_Cases'!I518="In Progress - Configuration","3",IF('Self-Assessment_Cases'!I518="In Progress - Installation/Upgrade","3",IF('Self-Assessment_Cases'!I518="Not Implemented - Compensating Control","5",IF('Self-Assessment_Cases'!I518="Not Implemented - Risk Negligible","5",IF('Self-Assessment_Cases'!I518="Not Implemented - Risk Accepted","1",IF('Self-Assessment_Cases'!I518="Not Implemented - Planned","1",IF('Self-Assessment_Cases'!I518="Not Implemented - Unplanned","1",".")))))))))</f>
        <v>.</v>
      </c>
      <c r="G518" s="16"/>
      <c r="H518" s="14"/>
      <c r="I518" s="92"/>
      <c r="J518" s="14"/>
      <c r="K518" s="8"/>
    </row>
    <row r="519" spans="1:11" s="1" customFormat="1" ht="16" x14ac:dyDescent="0.2">
      <c r="A519" s="4"/>
      <c r="B519" s="9"/>
      <c r="C519" s="89"/>
      <c r="D519" s="89"/>
      <c r="E519" s="4"/>
      <c r="F519" s="8" t="str">
        <f>IF('Self-Assessment_Cases'!I519="Implemented","5",IF('Self-Assessment_Cases'!I519="In Progress - Administrative","3",IF('Self-Assessment_Cases'!I519="In Progress - Configuration","3",IF('Self-Assessment_Cases'!I519="In Progress - Installation/Upgrade","3",IF('Self-Assessment_Cases'!I519="Not Implemented - Compensating Control","5",IF('Self-Assessment_Cases'!I519="Not Implemented - Risk Negligible","5",IF('Self-Assessment_Cases'!I519="Not Implemented - Risk Accepted","1",IF('Self-Assessment_Cases'!I519="Not Implemented - Planned","1",IF('Self-Assessment_Cases'!I519="Not Implemented - Unplanned","1",".")))))))))</f>
        <v>.</v>
      </c>
      <c r="G519" s="16"/>
      <c r="H519" s="14"/>
      <c r="I519" s="92"/>
      <c r="J519" s="14"/>
      <c r="K519" s="8"/>
    </row>
    <row r="520" spans="1:11" s="1" customFormat="1" ht="16" x14ac:dyDescent="0.2">
      <c r="A520" s="4"/>
      <c r="B520" s="9"/>
      <c r="C520" s="89"/>
      <c r="D520" s="89"/>
      <c r="E520" s="4"/>
      <c r="F520" s="8" t="str">
        <f>IF('Self-Assessment_Cases'!I520="Implemented","5",IF('Self-Assessment_Cases'!I520="In Progress - Administrative","3",IF('Self-Assessment_Cases'!I520="In Progress - Configuration","3",IF('Self-Assessment_Cases'!I520="In Progress - Installation/Upgrade","3",IF('Self-Assessment_Cases'!I520="Not Implemented - Compensating Control","5",IF('Self-Assessment_Cases'!I520="Not Implemented - Risk Negligible","5",IF('Self-Assessment_Cases'!I520="Not Implemented - Risk Accepted","1",IF('Self-Assessment_Cases'!I520="Not Implemented - Planned","1",IF('Self-Assessment_Cases'!I520="Not Implemented - Unplanned","1",".")))))))))</f>
        <v>.</v>
      </c>
      <c r="G520" s="16"/>
      <c r="H520" s="14"/>
      <c r="I520" s="92"/>
      <c r="J520" s="14"/>
      <c r="K520" s="8"/>
    </row>
    <row r="521" spans="1:11" s="1" customFormat="1" ht="16" x14ac:dyDescent="0.2">
      <c r="A521" s="4"/>
      <c r="B521" s="9"/>
      <c r="C521" s="89"/>
      <c r="D521" s="89"/>
      <c r="E521" s="4"/>
      <c r="F521" s="8" t="str">
        <f>IF('Self-Assessment_Cases'!I521="Implemented","5",IF('Self-Assessment_Cases'!I521="In Progress - Administrative","3",IF('Self-Assessment_Cases'!I521="In Progress - Configuration","3",IF('Self-Assessment_Cases'!I521="In Progress - Installation/Upgrade","3",IF('Self-Assessment_Cases'!I521="Not Implemented - Compensating Control","5",IF('Self-Assessment_Cases'!I521="Not Implemented - Risk Negligible","5",IF('Self-Assessment_Cases'!I521="Not Implemented - Risk Accepted","1",IF('Self-Assessment_Cases'!I521="Not Implemented - Planned","1",IF('Self-Assessment_Cases'!I521="Not Implemented - Unplanned","1",".")))))))))</f>
        <v>.</v>
      </c>
      <c r="G521" s="16"/>
      <c r="H521" s="14"/>
      <c r="I521" s="92"/>
      <c r="J521" s="14"/>
      <c r="K521" s="8"/>
    </row>
    <row r="522" spans="1:11" s="1" customFormat="1" ht="16" x14ac:dyDescent="0.2">
      <c r="A522" s="4"/>
      <c r="B522" s="9"/>
      <c r="C522" s="89"/>
      <c r="D522" s="89"/>
      <c r="E522" s="4"/>
      <c r="F522" s="8" t="str">
        <f>IF('Self-Assessment_Cases'!I522="Implemented","5",IF('Self-Assessment_Cases'!I522="In Progress - Administrative","3",IF('Self-Assessment_Cases'!I522="In Progress - Configuration","3",IF('Self-Assessment_Cases'!I522="In Progress - Installation/Upgrade","3",IF('Self-Assessment_Cases'!I522="Not Implemented - Compensating Control","5",IF('Self-Assessment_Cases'!I522="Not Implemented - Risk Negligible","5",IF('Self-Assessment_Cases'!I522="Not Implemented - Risk Accepted","1",IF('Self-Assessment_Cases'!I522="Not Implemented - Planned","1",IF('Self-Assessment_Cases'!I522="Not Implemented - Unplanned","1",".")))))))))</f>
        <v>.</v>
      </c>
      <c r="G522" s="16"/>
      <c r="H522" s="14"/>
      <c r="I522" s="92"/>
      <c r="J522" s="14"/>
      <c r="K522" s="8"/>
    </row>
    <row r="523" spans="1:11" s="1" customFormat="1" ht="16" x14ac:dyDescent="0.2">
      <c r="A523" s="4"/>
      <c r="B523" s="9"/>
      <c r="C523" s="89"/>
      <c r="D523" s="89"/>
      <c r="E523" s="4"/>
      <c r="F523" s="8" t="str">
        <f>IF('Self-Assessment_Cases'!I523="Implemented","5",IF('Self-Assessment_Cases'!I523="In Progress - Administrative","3",IF('Self-Assessment_Cases'!I523="In Progress - Configuration","3",IF('Self-Assessment_Cases'!I523="In Progress - Installation/Upgrade","3",IF('Self-Assessment_Cases'!I523="Not Implemented - Compensating Control","5",IF('Self-Assessment_Cases'!I523="Not Implemented - Risk Negligible","5",IF('Self-Assessment_Cases'!I523="Not Implemented - Risk Accepted","1",IF('Self-Assessment_Cases'!I523="Not Implemented - Planned","1",IF('Self-Assessment_Cases'!I523="Not Implemented - Unplanned","1",".")))))))))</f>
        <v>.</v>
      </c>
      <c r="G523" s="16"/>
      <c r="H523" s="14"/>
      <c r="I523" s="92"/>
      <c r="J523" s="14"/>
      <c r="K523" s="8"/>
    </row>
    <row r="524" spans="1:11" s="1" customFormat="1" ht="16" x14ac:dyDescent="0.2">
      <c r="A524" s="4"/>
      <c r="B524" s="9"/>
      <c r="C524" s="89"/>
      <c r="D524" s="89"/>
      <c r="E524" s="4"/>
      <c r="F524" s="8" t="str">
        <f>IF('Self-Assessment_Cases'!I524="Implemented","5",IF('Self-Assessment_Cases'!I524="In Progress - Administrative","3",IF('Self-Assessment_Cases'!I524="In Progress - Configuration","3",IF('Self-Assessment_Cases'!I524="In Progress - Installation/Upgrade","3",IF('Self-Assessment_Cases'!I524="Not Implemented - Compensating Control","5",IF('Self-Assessment_Cases'!I524="Not Implemented - Risk Negligible","5",IF('Self-Assessment_Cases'!I524="Not Implemented - Risk Accepted","1",IF('Self-Assessment_Cases'!I524="Not Implemented - Planned","1",IF('Self-Assessment_Cases'!I524="Not Implemented - Unplanned","1",".")))))))))</f>
        <v>.</v>
      </c>
      <c r="G524" s="16"/>
      <c r="H524" s="14"/>
      <c r="I524" s="92"/>
      <c r="J524" s="14"/>
      <c r="K524" s="8"/>
    </row>
    <row r="525" spans="1:11" s="1" customFormat="1" ht="16" x14ac:dyDescent="0.2">
      <c r="A525" s="4"/>
      <c r="B525" s="9"/>
      <c r="C525" s="89"/>
      <c r="D525" s="89"/>
      <c r="E525" s="4"/>
      <c r="F525" s="8" t="str">
        <f>IF('Self-Assessment_Cases'!I525="Implemented","5",IF('Self-Assessment_Cases'!I525="In Progress - Administrative","3",IF('Self-Assessment_Cases'!I525="In Progress - Configuration","3",IF('Self-Assessment_Cases'!I525="In Progress - Installation/Upgrade","3",IF('Self-Assessment_Cases'!I525="Not Implemented - Compensating Control","5",IF('Self-Assessment_Cases'!I525="Not Implemented - Risk Negligible","5",IF('Self-Assessment_Cases'!I525="Not Implemented - Risk Accepted","1",IF('Self-Assessment_Cases'!I525="Not Implemented - Planned","1",IF('Self-Assessment_Cases'!I525="Not Implemented - Unplanned","1",".")))))))))</f>
        <v>.</v>
      </c>
      <c r="G525" s="16"/>
      <c r="H525" s="14"/>
      <c r="I525" s="92"/>
      <c r="J525" s="14"/>
      <c r="K525" s="8"/>
    </row>
    <row r="526" spans="1:11" s="1" customFormat="1" ht="16" x14ac:dyDescent="0.2">
      <c r="A526" s="4"/>
      <c r="B526" s="9"/>
      <c r="C526" s="89"/>
      <c r="D526" s="89"/>
      <c r="E526" s="4"/>
      <c r="F526" s="8" t="str">
        <f>IF('Self-Assessment_Cases'!I526="Implemented","5",IF('Self-Assessment_Cases'!I526="In Progress - Administrative","3",IF('Self-Assessment_Cases'!I526="In Progress - Configuration","3",IF('Self-Assessment_Cases'!I526="In Progress - Installation/Upgrade","3",IF('Self-Assessment_Cases'!I526="Not Implemented - Compensating Control","5",IF('Self-Assessment_Cases'!I526="Not Implemented - Risk Negligible","5",IF('Self-Assessment_Cases'!I526="Not Implemented - Risk Accepted","1",IF('Self-Assessment_Cases'!I526="Not Implemented - Planned","1",IF('Self-Assessment_Cases'!I526="Not Implemented - Unplanned","1",".")))))))))</f>
        <v>.</v>
      </c>
      <c r="G526" s="16"/>
      <c r="H526" s="14"/>
      <c r="I526" s="92"/>
      <c r="J526" s="14"/>
      <c r="K526" s="8"/>
    </row>
    <row r="527" spans="1:11" s="1" customFormat="1" ht="16" x14ac:dyDescent="0.2">
      <c r="A527" s="4"/>
      <c r="B527" s="9"/>
      <c r="C527" s="89"/>
      <c r="D527" s="89"/>
      <c r="E527" s="4"/>
      <c r="F527" s="8" t="str">
        <f>IF('Self-Assessment_Cases'!I527="Implemented","5",IF('Self-Assessment_Cases'!I527="In Progress - Administrative","3",IF('Self-Assessment_Cases'!I527="In Progress - Configuration","3",IF('Self-Assessment_Cases'!I527="In Progress - Installation/Upgrade","3",IF('Self-Assessment_Cases'!I527="Not Implemented - Compensating Control","5",IF('Self-Assessment_Cases'!I527="Not Implemented - Risk Negligible","5",IF('Self-Assessment_Cases'!I527="Not Implemented - Risk Accepted","1",IF('Self-Assessment_Cases'!I527="Not Implemented - Planned","1",IF('Self-Assessment_Cases'!I527="Not Implemented - Unplanned","1",".")))))))))</f>
        <v>.</v>
      </c>
      <c r="G527" s="16"/>
      <c r="H527" s="14"/>
      <c r="I527" s="92"/>
      <c r="J527" s="14"/>
      <c r="K527" s="8"/>
    </row>
    <row r="528" spans="1:11" s="1" customFormat="1" ht="16" x14ac:dyDescent="0.2">
      <c r="A528" s="4"/>
      <c r="B528" s="9"/>
      <c r="C528" s="89"/>
      <c r="D528" s="89"/>
      <c r="E528" s="4"/>
      <c r="F528" s="8" t="str">
        <f>IF('Self-Assessment_Cases'!I528="Implemented","5",IF('Self-Assessment_Cases'!I528="In Progress - Administrative","3",IF('Self-Assessment_Cases'!I528="In Progress - Configuration","3",IF('Self-Assessment_Cases'!I528="In Progress - Installation/Upgrade","3",IF('Self-Assessment_Cases'!I528="Not Implemented - Compensating Control","5",IF('Self-Assessment_Cases'!I528="Not Implemented - Risk Negligible","5",IF('Self-Assessment_Cases'!I528="Not Implemented - Risk Accepted","1",IF('Self-Assessment_Cases'!I528="Not Implemented - Planned","1",IF('Self-Assessment_Cases'!I528="Not Implemented - Unplanned","1",".")))))))))</f>
        <v>.</v>
      </c>
      <c r="G528" s="16"/>
      <c r="H528" s="14"/>
      <c r="I528" s="92"/>
      <c r="J528" s="14"/>
      <c r="K528" s="8"/>
    </row>
    <row r="529" spans="1:11" s="1" customFormat="1" ht="16" x14ac:dyDescent="0.2">
      <c r="A529" s="4"/>
      <c r="B529" s="9"/>
      <c r="C529" s="89"/>
      <c r="D529" s="89"/>
      <c r="E529" s="4"/>
      <c r="F529" s="8" t="str">
        <f>IF('Self-Assessment_Cases'!I529="Implemented","5",IF('Self-Assessment_Cases'!I529="In Progress - Administrative","3",IF('Self-Assessment_Cases'!I529="In Progress - Configuration","3",IF('Self-Assessment_Cases'!I529="In Progress - Installation/Upgrade","3",IF('Self-Assessment_Cases'!I529="Not Implemented - Compensating Control","5",IF('Self-Assessment_Cases'!I529="Not Implemented - Risk Negligible","5",IF('Self-Assessment_Cases'!I529="Not Implemented - Risk Accepted","1",IF('Self-Assessment_Cases'!I529="Not Implemented - Planned","1",IF('Self-Assessment_Cases'!I529="Not Implemented - Unplanned","1",".")))))))))</f>
        <v>.</v>
      </c>
      <c r="G529" s="16"/>
      <c r="H529" s="14"/>
      <c r="I529" s="92"/>
      <c r="J529" s="14"/>
      <c r="K529" s="8"/>
    </row>
    <row r="530" spans="1:11" s="1" customFormat="1" ht="16" x14ac:dyDescent="0.2">
      <c r="A530" s="4"/>
      <c r="B530" s="9"/>
      <c r="C530" s="89"/>
      <c r="D530" s="89"/>
      <c r="E530" s="4"/>
      <c r="F530" s="8" t="str">
        <f>IF('Self-Assessment_Cases'!I530="Implemented","5",IF('Self-Assessment_Cases'!I530="In Progress - Administrative","3",IF('Self-Assessment_Cases'!I530="In Progress - Configuration","3",IF('Self-Assessment_Cases'!I530="In Progress - Installation/Upgrade","3",IF('Self-Assessment_Cases'!I530="Not Implemented - Compensating Control","5",IF('Self-Assessment_Cases'!I530="Not Implemented - Risk Negligible","5",IF('Self-Assessment_Cases'!I530="Not Implemented - Risk Accepted","1",IF('Self-Assessment_Cases'!I530="Not Implemented - Planned","1",IF('Self-Assessment_Cases'!I530="Not Implemented - Unplanned","1",".")))))))))</f>
        <v>.</v>
      </c>
      <c r="G530" s="16"/>
      <c r="H530" s="14"/>
      <c r="I530" s="92"/>
      <c r="J530" s="14"/>
      <c r="K530" s="8"/>
    </row>
    <row r="531" spans="1:11" s="1" customFormat="1" ht="16" x14ac:dyDescent="0.2">
      <c r="A531" s="4"/>
      <c r="B531" s="9"/>
      <c r="C531" s="89"/>
      <c r="D531" s="89"/>
      <c r="E531" s="4"/>
      <c r="F531" s="8" t="str">
        <f>IF('Self-Assessment_Cases'!I531="Implemented","5",IF('Self-Assessment_Cases'!I531="In Progress - Administrative","3",IF('Self-Assessment_Cases'!I531="In Progress - Configuration","3",IF('Self-Assessment_Cases'!I531="In Progress - Installation/Upgrade","3",IF('Self-Assessment_Cases'!I531="Not Implemented - Compensating Control","5",IF('Self-Assessment_Cases'!I531="Not Implemented - Risk Negligible","5",IF('Self-Assessment_Cases'!I531="Not Implemented - Risk Accepted","1",IF('Self-Assessment_Cases'!I531="Not Implemented - Planned","1",IF('Self-Assessment_Cases'!I531="Not Implemented - Unplanned","1",".")))))))))</f>
        <v>.</v>
      </c>
      <c r="G531" s="16"/>
      <c r="H531" s="14"/>
      <c r="I531" s="92"/>
      <c r="J531" s="14"/>
      <c r="K531" s="8"/>
    </row>
    <row r="532" spans="1:11" s="1" customFormat="1" ht="16" x14ac:dyDescent="0.2">
      <c r="A532" s="4"/>
      <c r="B532" s="9"/>
      <c r="C532" s="89"/>
      <c r="D532" s="89"/>
      <c r="E532" s="4"/>
      <c r="F532" s="8" t="str">
        <f>IF('Self-Assessment_Cases'!I532="Implemented","5",IF('Self-Assessment_Cases'!I532="In Progress - Administrative","3",IF('Self-Assessment_Cases'!I532="In Progress - Configuration","3",IF('Self-Assessment_Cases'!I532="In Progress - Installation/Upgrade","3",IF('Self-Assessment_Cases'!I532="Not Implemented - Compensating Control","5",IF('Self-Assessment_Cases'!I532="Not Implemented - Risk Negligible","5",IF('Self-Assessment_Cases'!I532="Not Implemented - Risk Accepted","1",IF('Self-Assessment_Cases'!I532="Not Implemented - Planned","1",IF('Self-Assessment_Cases'!I532="Not Implemented - Unplanned","1",".")))))))))</f>
        <v>.</v>
      </c>
      <c r="G532" s="16"/>
      <c r="H532" s="14"/>
      <c r="I532" s="92"/>
      <c r="J532" s="14"/>
      <c r="K532" s="8"/>
    </row>
    <row r="533" spans="1:11" s="1" customFormat="1" ht="16" x14ac:dyDescent="0.2">
      <c r="A533" s="4"/>
      <c r="B533" s="9"/>
      <c r="C533" s="89"/>
      <c r="D533" s="89"/>
      <c r="E533" s="4"/>
      <c r="F533" s="8" t="str">
        <f>IF('Self-Assessment_Cases'!I533="Implemented","5",IF('Self-Assessment_Cases'!I533="In Progress - Administrative","3",IF('Self-Assessment_Cases'!I533="In Progress - Configuration","3",IF('Self-Assessment_Cases'!I533="In Progress - Installation/Upgrade","3",IF('Self-Assessment_Cases'!I533="Not Implemented - Compensating Control","5",IF('Self-Assessment_Cases'!I533="Not Implemented - Risk Negligible","5",IF('Self-Assessment_Cases'!I533="Not Implemented - Risk Accepted","1",IF('Self-Assessment_Cases'!I533="Not Implemented - Planned","1",IF('Self-Assessment_Cases'!I533="Not Implemented - Unplanned","1",".")))))))))</f>
        <v>.</v>
      </c>
      <c r="G533" s="16"/>
      <c r="H533" s="14"/>
      <c r="I533" s="92"/>
      <c r="J533" s="14"/>
      <c r="K533" s="8"/>
    </row>
    <row r="534" spans="1:11" s="1" customFormat="1" ht="16" x14ac:dyDescent="0.2">
      <c r="A534" s="4"/>
      <c r="B534" s="9"/>
      <c r="C534" s="89"/>
      <c r="D534" s="89"/>
      <c r="E534" s="4"/>
      <c r="F534" s="8" t="str">
        <f>IF('Self-Assessment_Cases'!I534="Implemented","5",IF('Self-Assessment_Cases'!I534="In Progress - Administrative","3",IF('Self-Assessment_Cases'!I534="In Progress - Configuration","3",IF('Self-Assessment_Cases'!I534="In Progress - Installation/Upgrade","3",IF('Self-Assessment_Cases'!I534="Not Implemented - Compensating Control","5",IF('Self-Assessment_Cases'!I534="Not Implemented - Risk Negligible","5",IF('Self-Assessment_Cases'!I534="Not Implemented - Risk Accepted","1",IF('Self-Assessment_Cases'!I534="Not Implemented - Planned","1",IF('Self-Assessment_Cases'!I534="Not Implemented - Unplanned","1",".")))))))))</f>
        <v>.</v>
      </c>
      <c r="G534" s="16"/>
      <c r="H534" s="14"/>
      <c r="I534" s="92"/>
      <c r="J534" s="14"/>
      <c r="K534" s="8"/>
    </row>
    <row r="535" spans="1:11" s="1" customFormat="1" ht="16" x14ac:dyDescent="0.2">
      <c r="A535" s="4"/>
      <c r="B535" s="9"/>
      <c r="C535" s="89"/>
      <c r="D535" s="89"/>
      <c r="E535" s="4"/>
      <c r="F535" s="8" t="str">
        <f>IF('Self-Assessment_Cases'!I535="Implemented","5",IF('Self-Assessment_Cases'!I535="In Progress - Administrative","3",IF('Self-Assessment_Cases'!I535="In Progress - Configuration","3",IF('Self-Assessment_Cases'!I535="In Progress - Installation/Upgrade","3",IF('Self-Assessment_Cases'!I535="Not Implemented - Compensating Control","5",IF('Self-Assessment_Cases'!I535="Not Implemented - Risk Negligible","5",IF('Self-Assessment_Cases'!I535="Not Implemented - Risk Accepted","1",IF('Self-Assessment_Cases'!I535="Not Implemented - Planned","1",IF('Self-Assessment_Cases'!I535="Not Implemented - Unplanned","1",".")))))))))</f>
        <v>.</v>
      </c>
      <c r="G535" s="16"/>
      <c r="H535" s="14"/>
      <c r="I535" s="92"/>
      <c r="J535" s="14"/>
      <c r="K535" s="8"/>
    </row>
    <row r="536" spans="1:11" s="1" customFormat="1" ht="16" x14ac:dyDescent="0.2">
      <c r="A536" s="4"/>
      <c r="B536" s="9"/>
      <c r="C536" s="89"/>
      <c r="D536" s="89"/>
      <c r="E536" s="4"/>
      <c r="F536" s="8" t="str">
        <f>IF('Self-Assessment_Cases'!I536="Implemented","5",IF('Self-Assessment_Cases'!I536="In Progress - Administrative","3",IF('Self-Assessment_Cases'!I536="In Progress - Configuration","3",IF('Self-Assessment_Cases'!I536="In Progress - Installation/Upgrade","3",IF('Self-Assessment_Cases'!I536="Not Implemented - Compensating Control","5",IF('Self-Assessment_Cases'!I536="Not Implemented - Risk Negligible","5",IF('Self-Assessment_Cases'!I536="Not Implemented - Risk Accepted","1",IF('Self-Assessment_Cases'!I536="Not Implemented - Planned","1",IF('Self-Assessment_Cases'!I536="Not Implemented - Unplanned","1",".")))))))))</f>
        <v>.</v>
      </c>
      <c r="G536" s="16"/>
      <c r="H536" s="14"/>
      <c r="I536" s="92"/>
      <c r="J536" s="14"/>
      <c r="K536" s="8"/>
    </row>
    <row r="537" spans="1:11" s="1" customFormat="1" ht="16" x14ac:dyDescent="0.2">
      <c r="A537" s="4"/>
      <c r="B537" s="9"/>
      <c r="C537" s="89"/>
      <c r="D537" s="89"/>
      <c r="E537" s="4"/>
      <c r="F537" s="8" t="str">
        <f>IF('Self-Assessment_Cases'!I537="Implemented","5",IF('Self-Assessment_Cases'!I537="In Progress - Administrative","3",IF('Self-Assessment_Cases'!I537="In Progress - Configuration","3",IF('Self-Assessment_Cases'!I537="In Progress - Installation/Upgrade","3",IF('Self-Assessment_Cases'!I537="Not Implemented - Compensating Control","5",IF('Self-Assessment_Cases'!I537="Not Implemented - Risk Negligible","5",IF('Self-Assessment_Cases'!I537="Not Implemented - Risk Accepted","1",IF('Self-Assessment_Cases'!I537="Not Implemented - Planned","1",IF('Self-Assessment_Cases'!I537="Not Implemented - Unplanned","1",".")))))))))</f>
        <v>.</v>
      </c>
      <c r="G537" s="16"/>
      <c r="H537" s="14"/>
      <c r="I537" s="92"/>
      <c r="J537" s="14"/>
      <c r="K537" s="8"/>
    </row>
    <row r="538" spans="1:11" s="1" customFormat="1" ht="16" x14ac:dyDescent="0.2">
      <c r="A538" s="4"/>
      <c r="B538" s="9"/>
      <c r="C538" s="89"/>
      <c r="D538" s="89"/>
      <c r="E538" s="4"/>
      <c r="F538" s="8" t="str">
        <f>IF('Self-Assessment_Cases'!I538="Implemented","5",IF('Self-Assessment_Cases'!I538="In Progress - Administrative","3",IF('Self-Assessment_Cases'!I538="In Progress - Configuration","3",IF('Self-Assessment_Cases'!I538="In Progress - Installation/Upgrade","3",IF('Self-Assessment_Cases'!I538="Not Implemented - Compensating Control","5",IF('Self-Assessment_Cases'!I538="Not Implemented - Risk Negligible","5",IF('Self-Assessment_Cases'!I538="Not Implemented - Risk Accepted","1",IF('Self-Assessment_Cases'!I538="Not Implemented - Planned","1",IF('Self-Assessment_Cases'!I538="Not Implemented - Unplanned","1",".")))))))))</f>
        <v>.</v>
      </c>
      <c r="G538" s="16"/>
      <c r="H538" s="14"/>
      <c r="I538" s="92"/>
      <c r="J538" s="14"/>
      <c r="K538" s="8"/>
    </row>
    <row r="539" spans="1:11" s="1" customFormat="1" ht="16" x14ac:dyDescent="0.2">
      <c r="A539" s="4"/>
      <c r="B539" s="9"/>
      <c r="C539" s="89"/>
      <c r="D539" s="89"/>
      <c r="E539" s="4"/>
      <c r="F539" s="8" t="str">
        <f>IF('Self-Assessment_Cases'!I539="Implemented","5",IF('Self-Assessment_Cases'!I539="In Progress - Administrative","3",IF('Self-Assessment_Cases'!I539="In Progress - Configuration","3",IF('Self-Assessment_Cases'!I539="In Progress - Installation/Upgrade","3",IF('Self-Assessment_Cases'!I539="Not Implemented - Compensating Control","5",IF('Self-Assessment_Cases'!I539="Not Implemented - Risk Negligible","5",IF('Self-Assessment_Cases'!I539="Not Implemented - Risk Accepted","1",IF('Self-Assessment_Cases'!I539="Not Implemented - Planned","1",IF('Self-Assessment_Cases'!I539="Not Implemented - Unplanned","1",".")))))))))</f>
        <v>.</v>
      </c>
      <c r="G539" s="16"/>
      <c r="H539" s="14"/>
      <c r="I539" s="92"/>
      <c r="J539" s="14"/>
      <c r="K539" s="8"/>
    </row>
    <row r="540" spans="1:11" s="1" customFormat="1" ht="16" x14ac:dyDescent="0.2">
      <c r="A540" s="4"/>
      <c r="B540" s="9"/>
      <c r="C540" s="89"/>
      <c r="D540" s="89"/>
      <c r="E540" s="4"/>
      <c r="F540" s="8" t="str">
        <f>IF('Self-Assessment_Cases'!I540="Implemented","5",IF('Self-Assessment_Cases'!I540="In Progress - Administrative","3",IF('Self-Assessment_Cases'!I540="In Progress - Configuration","3",IF('Self-Assessment_Cases'!I540="In Progress - Installation/Upgrade","3",IF('Self-Assessment_Cases'!I540="Not Implemented - Compensating Control","5",IF('Self-Assessment_Cases'!I540="Not Implemented - Risk Negligible","5",IF('Self-Assessment_Cases'!I540="Not Implemented - Risk Accepted","1",IF('Self-Assessment_Cases'!I540="Not Implemented - Planned","1",IF('Self-Assessment_Cases'!I540="Not Implemented - Unplanned","1",".")))))))))</f>
        <v>.</v>
      </c>
      <c r="G540" s="16"/>
      <c r="H540" s="14"/>
      <c r="I540" s="92"/>
      <c r="J540" s="14"/>
      <c r="K540" s="8"/>
    </row>
    <row r="541" spans="1:11" s="1" customFormat="1" ht="16" x14ac:dyDescent="0.2">
      <c r="A541" s="4"/>
      <c r="B541" s="9"/>
      <c r="C541" s="89"/>
      <c r="D541" s="89"/>
      <c r="E541" s="4"/>
      <c r="F541" s="8" t="str">
        <f>IF('Self-Assessment_Cases'!I541="Implemented","5",IF('Self-Assessment_Cases'!I541="In Progress - Administrative","3",IF('Self-Assessment_Cases'!I541="In Progress - Configuration","3",IF('Self-Assessment_Cases'!I541="In Progress - Installation/Upgrade","3",IF('Self-Assessment_Cases'!I541="Not Implemented - Compensating Control","5",IF('Self-Assessment_Cases'!I541="Not Implemented - Risk Negligible","5",IF('Self-Assessment_Cases'!I541="Not Implemented - Risk Accepted","1",IF('Self-Assessment_Cases'!I541="Not Implemented - Planned","1",IF('Self-Assessment_Cases'!I541="Not Implemented - Unplanned","1",".")))))))))</f>
        <v>.</v>
      </c>
      <c r="G541" s="16"/>
      <c r="H541" s="14"/>
      <c r="I541" s="92"/>
      <c r="J541" s="14"/>
      <c r="K541" s="8"/>
    </row>
    <row r="542" spans="1:11" s="1" customFormat="1" ht="16" x14ac:dyDescent="0.2">
      <c r="A542" s="4"/>
      <c r="B542" s="9"/>
      <c r="C542" s="89"/>
      <c r="D542" s="89"/>
      <c r="E542" s="4"/>
      <c r="F542" s="8" t="str">
        <f>IF('Self-Assessment_Cases'!I542="Implemented","5",IF('Self-Assessment_Cases'!I542="In Progress - Administrative","3",IF('Self-Assessment_Cases'!I542="In Progress - Configuration","3",IF('Self-Assessment_Cases'!I542="In Progress - Installation/Upgrade","3",IF('Self-Assessment_Cases'!I542="Not Implemented - Compensating Control","5",IF('Self-Assessment_Cases'!I542="Not Implemented - Risk Negligible","5",IF('Self-Assessment_Cases'!I542="Not Implemented - Risk Accepted","1",IF('Self-Assessment_Cases'!I542="Not Implemented - Planned","1",IF('Self-Assessment_Cases'!I542="Not Implemented - Unplanned","1",".")))))))))</f>
        <v>.</v>
      </c>
      <c r="G542" s="16"/>
      <c r="H542" s="14"/>
      <c r="I542" s="92"/>
      <c r="J542" s="14"/>
      <c r="K542" s="8"/>
    </row>
    <row r="543" spans="1:11" s="1" customFormat="1" ht="16" x14ac:dyDescent="0.2">
      <c r="A543" s="4"/>
      <c r="B543" s="9"/>
      <c r="C543" s="89"/>
      <c r="D543" s="89"/>
      <c r="E543" s="4"/>
      <c r="F543" s="8" t="str">
        <f>IF('Self-Assessment_Cases'!I543="Implemented","5",IF('Self-Assessment_Cases'!I543="In Progress - Administrative","3",IF('Self-Assessment_Cases'!I543="In Progress - Configuration","3",IF('Self-Assessment_Cases'!I543="In Progress - Installation/Upgrade","3",IF('Self-Assessment_Cases'!I543="Not Implemented - Compensating Control","5",IF('Self-Assessment_Cases'!I543="Not Implemented - Risk Negligible","5",IF('Self-Assessment_Cases'!I543="Not Implemented - Risk Accepted","1",IF('Self-Assessment_Cases'!I543="Not Implemented - Planned","1",IF('Self-Assessment_Cases'!I543="Not Implemented - Unplanned","1",".")))))))))</f>
        <v>.</v>
      </c>
      <c r="G543" s="16"/>
      <c r="H543" s="14"/>
      <c r="I543" s="92"/>
      <c r="J543" s="14"/>
      <c r="K543" s="8"/>
    </row>
    <row r="544" spans="1:11" s="1" customFormat="1" ht="16" x14ac:dyDescent="0.2">
      <c r="A544" s="4"/>
      <c r="B544" s="9"/>
      <c r="C544" s="89"/>
      <c r="D544" s="89"/>
      <c r="E544" s="4"/>
      <c r="F544" s="8" t="str">
        <f>IF('Self-Assessment_Cases'!I544="Implemented","5",IF('Self-Assessment_Cases'!I544="In Progress - Administrative","3",IF('Self-Assessment_Cases'!I544="In Progress - Configuration","3",IF('Self-Assessment_Cases'!I544="In Progress - Installation/Upgrade","3",IF('Self-Assessment_Cases'!I544="Not Implemented - Compensating Control","5",IF('Self-Assessment_Cases'!I544="Not Implemented - Risk Negligible","5",IF('Self-Assessment_Cases'!I544="Not Implemented - Risk Accepted","1",IF('Self-Assessment_Cases'!I544="Not Implemented - Planned","1",IF('Self-Assessment_Cases'!I544="Not Implemented - Unplanned","1",".")))))))))</f>
        <v>.</v>
      </c>
      <c r="G544" s="16"/>
      <c r="H544" s="14"/>
      <c r="I544" s="92"/>
      <c r="J544" s="14"/>
      <c r="K544" s="8"/>
    </row>
    <row r="545" spans="1:11" s="1" customFormat="1" ht="16" x14ac:dyDescent="0.2">
      <c r="A545" s="4"/>
      <c r="B545" s="9"/>
      <c r="C545" s="89"/>
      <c r="D545" s="89"/>
      <c r="E545" s="4"/>
      <c r="F545" s="8" t="str">
        <f>IF('Self-Assessment_Cases'!I545="Implemented","5",IF('Self-Assessment_Cases'!I545="In Progress - Administrative","3",IF('Self-Assessment_Cases'!I545="In Progress - Configuration","3",IF('Self-Assessment_Cases'!I545="In Progress - Installation/Upgrade","3",IF('Self-Assessment_Cases'!I545="Not Implemented - Compensating Control","5",IF('Self-Assessment_Cases'!I545="Not Implemented - Risk Negligible","5",IF('Self-Assessment_Cases'!I545="Not Implemented - Risk Accepted","1",IF('Self-Assessment_Cases'!I545="Not Implemented - Planned","1",IF('Self-Assessment_Cases'!I545="Not Implemented - Unplanned","1",".")))))))))</f>
        <v>.</v>
      </c>
      <c r="G545" s="16"/>
      <c r="H545" s="14"/>
      <c r="I545" s="92"/>
      <c r="J545" s="14"/>
      <c r="K545" s="8"/>
    </row>
    <row r="546" spans="1:11" s="1" customFormat="1" ht="16" x14ac:dyDescent="0.2">
      <c r="A546" s="4"/>
      <c r="B546" s="9"/>
      <c r="C546" s="89"/>
      <c r="D546" s="89"/>
      <c r="E546" s="4"/>
      <c r="F546" s="8" t="str">
        <f>IF('Self-Assessment_Cases'!I546="Implemented","5",IF('Self-Assessment_Cases'!I546="In Progress - Administrative","3",IF('Self-Assessment_Cases'!I546="In Progress - Configuration","3",IF('Self-Assessment_Cases'!I546="In Progress - Installation/Upgrade","3",IF('Self-Assessment_Cases'!I546="Not Implemented - Compensating Control","5",IF('Self-Assessment_Cases'!I546="Not Implemented - Risk Negligible","5",IF('Self-Assessment_Cases'!I546="Not Implemented - Risk Accepted","1",IF('Self-Assessment_Cases'!I546="Not Implemented - Planned","1",IF('Self-Assessment_Cases'!I546="Not Implemented - Unplanned","1",".")))))))))</f>
        <v>.</v>
      </c>
      <c r="G546" s="16"/>
      <c r="H546" s="14"/>
      <c r="I546" s="92"/>
      <c r="J546" s="14"/>
      <c r="K546" s="8"/>
    </row>
    <row r="547" spans="1:11" s="1" customFormat="1" ht="16" x14ac:dyDescent="0.2">
      <c r="A547" s="4"/>
      <c r="B547" s="9"/>
      <c r="C547" s="89"/>
      <c r="D547" s="89"/>
      <c r="E547" s="4"/>
      <c r="F547" s="8" t="str">
        <f>IF('Self-Assessment_Cases'!I547="Implemented","5",IF('Self-Assessment_Cases'!I547="In Progress - Administrative","3",IF('Self-Assessment_Cases'!I547="In Progress - Configuration","3",IF('Self-Assessment_Cases'!I547="In Progress - Installation/Upgrade","3",IF('Self-Assessment_Cases'!I547="Not Implemented - Compensating Control","5",IF('Self-Assessment_Cases'!I547="Not Implemented - Risk Negligible","5",IF('Self-Assessment_Cases'!I547="Not Implemented - Risk Accepted","1",IF('Self-Assessment_Cases'!I547="Not Implemented - Planned","1",IF('Self-Assessment_Cases'!I547="Not Implemented - Unplanned","1",".")))))))))</f>
        <v>.</v>
      </c>
      <c r="G547" s="16"/>
      <c r="H547" s="14"/>
      <c r="I547" s="92"/>
      <c r="J547" s="14"/>
      <c r="K547" s="8"/>
    </row>
    <row r="548" spans="1:11" s="1" customFormat="1" ht="16" x14ac:dyDescent="0.2">
      <c r="A548" s="4"/>
      <c r="B548" s="9"/>
      <c r="C548" s="89"/>
      <c r="D548" s="89"/>
      <c r="E548" s="4"/>
      <c r="F548" s="8" t="str">
        <f>IF('Self-Assessment_Cases'!I548="Implemented","5",IF('Self-Assessment_Cases'!I548="In Progress - Administrative","3",IF('Self-Assessment_Cases'!I548="In Progress - Configuration","3",IF('Self-Assessment_Cases'!I548="In Progress - Installation/Upgrade","3",IF('Self-Assessment_Cases'!I548="Not Implemented - Compensating Control","5",IF('Self-Assessment_Cases'!I548="Not Implemented - Risk Negligible","5",IF('Self-Assessment_Cases'!I548="Not Implemented - Risk Accepted","1",IF('Self-Assessment_Cases'!I548="Not Implemented - Planned","1",IF('Self-Assessment_Cases'!I548="Not Implemented - Unplanned","1",".")))))))))</f>
        <v>.</v>
      </c>
      <c r="G548" s="16"/>
      <c r="H548" s="14"/>
      <c r="I548" s="92"/>
      <c r="J548" s="14"/>
      <c r="K548" s="8"/>
    </row>
    <row r="549" spans="1:11" s="1" customFormat="1" ht="16" x14ac:dyDescent="0.2">
      <c r="A549" s="4"/>
      <c r="B549" s="9"/>
      <c r="C549" s="89"/>
      <c r="D549" s="89"/>
      <c r="E549" s="4"/>
      <c r="F549" s="8" t="str">
        <f>IF('Self-Assessment_Cases'!I549="Implemented","5",IF('Self-Assessment_Cases'!I549="In Progress - Administrative","3",IF('Self-Assessment_Cases'!I549="In Progress - Configuration","3",IF('Self-Assessment_Cases'!I549="In Progress - Installation/Upgrade","3",IF('Self-Assessment_Cases'!I549="Not Implemented - Compensating Control","5",IF('Self-Assessment_Cases'!I549="Not Implemented - Risk Negligible","5",IF('Self-Assessment_Cases'!I549="Not Implemented - Risk Accepted","1",IF('Self-Assessment_Cases'!I549="Not Implemented - Planned","1",IF('Self-Assessment_Cases'!I549="Not Implemented - Unplanned","1",".")))))))))</f>
        <v>.</v>
      </c>
      <c r="G549" s="16"/>
      <c r="H549" s="14"/>
      <c r="I549" s="92"/>
      <c r="J549" s="14"/>
      <c r="K549" s="8"/>
    </row>
    <row r="550" spans="1:11" s="1" customFormat="1" ht="16" x14ac:dyDescent="0.2">
      <c r="A550" s="4"/>
      <c r="B550" s="9"/>
      <c r="C550" s="89"/>
      <c r="D550" s="89"/>
      <c r="E550" s="4"/>
      <c r="F550" s="8" t="str">
        <f>IF('Self-Assessment_Cases'!I550="Implemented","5",IF('Self-Assessment_Cases'!I550="In Progress - Administrative","3",IF('Self-Assessment_Cases'!I550="In Progress - Configuration","3",IF('Self-Assessment_Cases'!I550="In Progress - Installation/Upgrade","3",IF('Self-Assessment_Cases'!I550="Not Implemented - Compensating Control","5",IF('Self-Assessment_Cases'!I550="Not Implemented - Risk Negligible","5",IF('Self-Assessment_Cases'!I550="Not Implemented - Risk Accepted","1",IF('Self-Assessment_Cases'!I550="Not Implemented - Planned","1",IF('Self-Assessment_Cases'!I550="Not Implemented - Unplanned","1",".")))))))))</f>
        <v>.</v>
      </c>
      <c r="G550" s="16"/>
      <c r="H550" s="14"/>
      <c r="I550" s="92"/>
      <c r="J550" s="14"/>
      <c r="K550" s="8"/>
    </row>
    <row r="551" spans="1:11" s="1" customFormat="1" ht="16" x14ac:dyDescent="0.2">
      <c r="A551" s="4"/>
      <c r="B551" s="9"/>
      <c r="C551" s="89"/>
      <c r="D551" s="89"/>
      <c r="E551" s="4"/>
      <c r="F551" s="8" t="str">
        <f>IF('Self-Assessment_Cases'!I551="Implemented","5",IF('Self-Assessment_Cases'!I551="In Progress - Administrative","3",IF('Self-Assessment_Cases'!I551="In Progress - Configuration","3",IF('Self-Assessment_Cases'!I551="In Progress - Installation/Upgrade","3",IF('Self-Assessment_Cases'!I551="Not Implemented - Compensating Control","5",IF('Self-Assessment_Cases'!I551="Not Implemented - Risk Negligible","5",IF('Self-Assessment_Cases'!I551="Not Implemented - Risk Accepted","1",IF('Self-Assessment_Cases'!I551="Not Implemented - Planned","1",IF('Self-Assessment_Cases'!I551="Not Implemented - Unplanned","1",".")))))))))</f>
        <v>.</v>
      </c>
      <c r="G551" s="16"/>
      <c r="H551" s="14"/>
      <c r="I551" s="92"/>
      <c r="J551" s="14"/>
      <c r="K551" s="8"/>
    </row>
    <row r="552" spans="1:11" s="1" customFormat="1" ht="16" x14ac:dyDescent="0.2">
      <c r="A552" s="4"/>
      <c r="B552" s="9"/>
      <c r="C552" s="89"/>
      <c r="D552" s="89"/>
      <c r="E552" s="4"/>
      <c r="F552" s="8" t="str">
        <f>IF('Self-Assessment_Cases'!I552="Implemented","5",IF('Self-Assessment_Cases'!I552="In Progress - Administrative","3",IF('Self-Assessment_Cases'!I552="In Progress - Configuration","3",IF('Self-Assessment_Cases'!I552="In Progress - Installation/Upgrade","3",IF('Self-Assessment_Cases'!I552="Not Implemented - Compensating Control","5",IF('Self-Assessment_Cases'!I552="Not Implemented - Risk Negligible","5",IF('Self-Assessment_Cases'!I552="Not Implemented - Risk Accepted","1",IF('Self-Assessment_Cases'!I552="Not Implemented - Planned","1",IF('Self-Assessment_Cases'!I552="Not Implemented - Unplanned","1",".")))))))))</f>
        <v>.</v>
      </c>
      <c r="G552" s="16"/>
      <c r="H552" s="14"/>
      <c r="I552" s="92"/>
      <c r="J552" s="14"/>
      <c r="K552" s="8"/>
    </row>
    <row r="553" spans="1:11" s="1" customFormat="1" ht="16" x14ac:dyDescent="0.2">
      <c r="A553" s="4"/>
      <c r="B553" s="9"/>
      <c r="C553" s="89"/>
      <c r="D553" s="89"/>
      <c r="E553" s="4"/>
      <c r="F553" s="8" t="str">
        <f>IF('Self-Assessment_Cases'!I553="Implemented","5",IF('Self-Assessment_Cases'!I553="In Progress - Administrative","3",IF('Self-Assessment_Cases'!I553="In Progress - Configuration","3",IF('Self-Assessment_Cases'!I553="In Progress - Installation/Upgrade","3",IF('Self-Assessment_Cases'!I553="Not Implemented - Compensating Control","5",IF('Self-Assessment_Cases'!I553="Not Implemented - Risk Negligible","5",IF('Self-Assessment_Cases'!I553="Not Implemented - Risk Accepted","1",IF('Self-Assessment_Cases'!I553="Not Implemented - Planned","1",IF('Self-Assessment_Cases'!I553="Not Implemented - Unplanned","1",".")))))))))</f>
        <v>.</v>
      </c>
      <c r="G553" s="16"/>
      <c r="H553" s="14"/>
      <c r="I553" s="92"/>
      <c r="J553" s="14"/>
      <c r="K553" s="8"/>
    </row>
    <row r="554" spans="1:11" s="1" customFormat="1" ht="16" x14ac:dyDescent="0.2">
      <c r="A554" s="4"/>
      <c r="B554" s="9"/>
      <c r="C554" s="89"/>
      <c r="D554" s="89"/>
      <c r="E554" s="4"/>
      <c r="F554" s="8" t="str">
        <f>IF('Self-Assessment_Cases'!I554="Implemented","5",IF('Self-Assessment_Cases'!I554="In Progress - Administrative","3",IF('Self-Assessment_Cases'!I554="In Progress - Configuration","3",IF('Self-Assessment_Cases'!I554="In Progress - Installation/Upgrade","3",IF('Self-Assessment_Cases'!I554="Not Implemented - Compensating Control","5",IF('Self-Assessment_Cases'!I554="Not Implemented - Risk Negligible","5",IF('Self-Assessment_Cases'!I554="Not Implemented - Risk Accepted","1",IF('Self-Assessment_Cases'!I554="Not Implemented - Planned","1",IF('Self-Assessment_Cases'!I554="Not Implemented - Unplanned","1",".")))))))))</f>
        <v>.</v>
      </c>
      <c r="G554" s="16"/>
      <c r="H554" s="14"/>
      <c r="I554" s="92"/>
      <c r="J554" s="14"/>
      <c r="K554" s="8"/>
    </row>
    <row r="555" spans="1:11" s="1" customFormat="1" ht="16" x14ac:dyDescent="0.2">
      <c r="A555" s="4"/>
      <c r="B555" s="9"/>
      <c r="C555" s="89"/>
      <c r="D555" s="89"/>
      <c r="E555" s="4"/>
      <c r="F555" s="8" t="str">
        <f>IF('Self-Assessment_Cases'!I555="Implemented","5",IF('Self-Assessment_Cases'!I555="In Progress - Administrative","3",IF('Self-Assessment_Cases'!I555="In Progress - Configuration","3",IF('Self-Assessment_Cases'!I555="In Progress - Installation/Upgrade","3",IF('Self-Assessment_Cases'!I555="Not Implemented - Compensating Control","5",IF('Self-Assessment_Cases'!I555="Not Implemented - Risk Negligible","5",IF('Self-Assessment_Cases'!I555="Not Implemented - Risk Accepted","1",IF('Self-Assessment_Cases'!I555="Not Implemented - Planned","1",IF('Self-Assessment_Cases'!I555="Not Implemented - Unplanned","1",".")))))))))</f>
        <v>.</v>
      </c>
      <c r="G555" s="16"/>
      <c r="H555" s="14"/>
      <c r="I555" s="92"/>
      <c r="J555" s="14"/>
      <c r="K555" s="8"/>
    </row>
    <row r="556" spans="1:11" s="1" customFormat="1" ht="16" x14ac:dyDescent="0.2">
      <c r="A556" s="4"/>
      <c r="B556" s="9"/>
      <c r="C556" s="89"/>
      <c r="D556" s="89"/>
      <c r="E556" s="4"/>
      <c r="F556" s="8" t="str">
        <f>IF('Self-Assessment_Cases'!I556="Implemented","5",IF('Self-Assessment_Cases'!I556="In Progress - Administrative","3",IF('Self-Assessment_Cases'!I556="In Progress - Configuration","3",IF('Self-Assessment_Cases'!I556="In Progress - Installation/Upgrade","3",IF('Self-Assessment_Cases'!I556="Not Implemented - Compensating Control","5",IF('Self-Assessment_Cases'!I556="Not Implemented - Risk Negligible","5",IF('Self-Assessment_Cases'!I556="Not Implemented - Risk Accepted","1",IF('Self-Assessment_Cases'!I556="Not Implemented - Planned","1",IF('Self-Assessment_Cases'!I556="Not Implemented - Unplanned","1",".")))))))))</f>
        <v>.</v>
      </c>
      <c r="G556" s="16"/>
      <c r="H556" s="14"/>
      <c r="I556" s="92"/>
      <c r="J556" s="14"/>
      <c r="K556" s="8"/>
    </row>
    <row r="557" spans="1:11" s="1" customFormat="1" ht="16" x14ac:dyDescent="0.2">
      <c r="A557" s="4"/>
      <c r="B557" s="9"/>
      <c r="C557" s="89"/>
      <c r="D557" s="89"/>
      <c r="E557" s="4"/>
      <c r="F557" s="8" t="str">
        <f>IF('Self-Assessment_Cases'!I557="Implemented","5",IF('Self-Assessment_Cases'!I557="In Progress - Administrative","3",IF('Self-Assessment_Cases'!I557="In Progress - Configuration","3",IF('Self-Assessment_Cases'!I557="In Progress - Installation/Upgrade","3",IF('Self-Assessment_Cases'!I557="Not Implemented - Compensating Control","5",IF('Self-Assessment_Cases'!I557="Not Implemented - Risk Negligible","5",IF('Self-Assessment_Cases'!I557="Not Implemented - Risk Accepted","1",IF('Self-Assessment_Cases'!I557="Not Implemented - Planned","1",IF('Self-Assessment_Cases'!I557="Not Implemented - Unplanned","1",".")))))))))</f>
        <v>.</v>
      </c>
      <c r="G557" s="16"/>
      <c r="H557" s="14"/>
      <c r="I557" s="92"/>
      <c r="J557" s="14"/>
      <c r="K557" s="8"/>
    </row>
    <row r="558" spans="1:11" s="1" customFormat="1" ht="16" x14ac:dyDescent="0.2">
      <c r="A558" s="4"/>
      <c r="B558" s="9"/>
      <c r="C558" s="89"/>
      <c r="D558" s="89"/>
      <c r="E558" s="4"/>
      <c r="F558" s="8" t="str">
        <f>IF('Self-Assessment_Cases'!I558="Implemented","5",IF('Self-Assessment_Cases'!I558="In Progress - Administrative","3",IF('Self-Assessment_Cases'!I558="In Progress - Configuration","3",IF('Self-Assessment_Cases'!I558="In Progress - Installation/Upgrade","3",IF('Self-Assessment_Cases'!I558="Not Implemented - Compensating Control","5",IF('Self-Assessment_Cases'!I558="Not Implemented - Risk Negligible","5",IF('Self-Assessment_Cases'!I558="Not Implemented - Risk Accepted","1",IF('Self-Assessment_Cases'!I558="Not Implemented - Planned","1",IF('Self-Assessment_Cases'!I558="Not Implemented - Unplanned","1",".")))))))))</f>
        <v>.</v>
      </c>
      <c r="G558" s="16"/>
      <c r="H558" s="14"/>
      <c r="I558" s="92"/>
      <c r="J558" s="14"/>
      <c r="K558" s="8"/>
    </row>
    <row r="559" spans="1:11" s="1" customFormat="1" ht="16" x14ac:dyDescent="0.2">
      <c r="A559" s="4"/>
      <c r="B559" s="9"/>
      <c r="C559" s="89"/>
      <c r="D559" s="89"/>
      <c r="E559" s="4"/>
      <c r="F559" s="8" t="str">
        <f>IF('Self-Assessment_Cases'!I559="Implemented","5",IF('Self-Assessment_Cases'!I559="In Progress - Administrative","3",IF('Self-Assessment_Cases'!I559="In Progress - Configuration","3",IF('Self-Assessment_Cases'!I559="In Progress - Installation/Upgrade","3",IF('Self-Assessment_Cases'!I559="Not Implemented - Compensating Control","5",IF('Self-Assessment_Cases'!I559="Not Implemented - Risk Negligible","5",IF('Self-Assessment_Cases'!I559="Not Implemented - Risk Accepted","1",IF('Self-Assessment_Cases'!I559="Not Implemented - Planned","1",IF('Self-Assessment_Cases'!I559="Not Implemented - Unplanned","1",".")))))))))</f>
        <v>.</v>
      </c>
      <c r="G559" s="16"/>
      <c r="H559" s="14"/>
      <c r="I559" s="92"/>
      <c r="J559" s="14"/>
      <c r="K559" s="8"/>
    </row>
    <row r="560" spans="1:11" s="1" customFormat="1" ht="16" x14ac:dyDescent="0.2">
      <c r="A560" s="4"/>
      <c r="B560" s="9"/>
      <c r="C560" s="89"/>
      <c r="D560" s="89"/>
      <c r="E560" s="4"/>
      <c r="F560" s="8" t="str">
        <f>IF('Self-Assessment_Cases'!I560="Implemented","5",IF('Self-Assessment_Cases'!I560="In Progress - Administrative","3",IF('Self-Assessment_Cases'!I560="In Progress - Configuration","3",IF('Self-Assessment_Cases'!I560="In Progress - Installation/Upgrade","3",IF('Self-Assessment_Cases'!I560="Not Implemented - Compensating Control","5",IF('Self-Assessment_Cases'!I560="Not Implemented - Risk Negligible","5",IF('Self-Assessment_Cases'!I560="Not Implemented - Risk Accepted","1",IF('Self-Assessment_Cases'!I560="Not Implemented - Planned","1",IF('Self-Assessment_Cases'!I560="Not Implemented - Unplanned","1",".")))))))))</f>
        <v>.</v>
      </c>
      <c r="G560" s="16"/>
      <c r="H560" s="14"/>
      <c r="I560" s="92"/>
      <c r="J560" s="14"/>
      <c r="K560" s="8"/>
    </row>
    <row r="561" spans="1:11" s="1" customFormat="1" ht="16" x14ac:dyDescent="0.2">
      <c r="A561" s="4"/>
      <c r="B561" s="9"/>
      <c r="C561" s="89"/>
      <c r="D561" s="89"/>
      <c r="E561" s="4"/>
      <c r="F561" s="8" t="str">
        <f>IF('Self-Assessment_Cases'!I561="Implemented","5",IF('Self-Assessment_Cases'!I561="In Progress - Administrative","3",IF('Self-Assessment_Cases'!I561="In Progress - Configuration","3",IF('Self-Assessment_Cases'!I561="In Progress - Installation/Upgrade","3",IF('Self-Assessment_Cases'!I561="Not Implemented - Compensating Control","5",IF('Self-Assessment_Cases'!I561="Not Implemented - Risk Negligible","5",IF('Self-Assessment_Cases'!I561="Not Implemented - Risk Accepted","1",IF('Self-Assessment_Cases'!I561="Not Implemented - Planned","1",IF('Self-Assessment_Cases'!I561="Not Implemented - Unplanned","1",".")))))))))</f>
        <v>.</v>
      </c>
      <c r="G561" s="16"/>
      <c r="H561" s="14"/>
      <c r="I561" s="92"/>
      <c r="J561" s="14"/>
      <c r="K561" s="8"/>
    </row>
    <row r="562" spans="1:11" s="1" customFormat="1" ht="16" x14ac:dyDescent="0.2">
      <c r="A562" s="4"/>
      <c r="B562" s="9"/>
      <c r="C562" s="89"/>
      <c r="D562" s="89"/>
      <c r="E562" s="4"/>
      <c r="F562" s="8" t="str">
        <f>IF('Self-Assessment_Cases'!I562="Implemented","5",IF('Self-Assessment_Cases'!I562="In Progress - Administrative","3",IF('Self-Assessment_Cases'!I562="In Progress - Configuration","3",IF('Self-Assessment_Cases'!I562="In Progress - Installation/Upgrade","3",IF('Self-Assessment_Cases'!I562="Not Implemented - Compensating Control","5",IF('Self-Assessment_Cases'!I562="Not Implemented - Risk Negligible","5",IF('Self-Assessment_Cases'!I562="Not Implemented - Risk Accepted","1",IF('Self-Assessment_Cases'!I562="Not Implemented - Planned","1",IF('Self-Assessment_Cases'!I562="Not Implemented - Unplanned","1",".")))))))))</f>
        <v>.</v>
      </c>
      <c r="G562" s="16"/>
      <c r="H562" s="14"/>
      <c r="I562" s="92"/>
      <c r="J562" s="14"/>
      <c r="K562" s="8"/>
    </row>
    <row r="563" spans="1:11" s="1" customFormat="1" ht="16" x14ac:dyDescent="0.2">
      <c r="A563" s="4"/>
      <c r="B563" s="9"/>
      <c r="C563" s="89"/>
      <c r="D563" s="89"/>
      <c r="E563" s="4"/>
      <c r="F563" s="8" t="str">
        <f>IF('Self-Assessment_Cases'!I563="Implemented","5",IF('Self-Assessment_Cases'!I563="In Progress - Administrative","3",IF('Self-Assessment_Cases'!I563="In Progress - Configuration","3",IF('Self-Assessment_Cases'!I563="In Progress - Installation/Upgrade","3",IF('Self-Assessment_Cases'!I563="Not Implemented - Compensating Control","5",IF('Self-Assessment_Cases'!I563="Not Implemented - Risk Negligible","5",IF('Self-Assessment_Cases'!I563="Not Implemented - Risk Accepted","1",IF('Self-Assessment_Cases'!I563="Not Implemented - Planned","1",IF('Self-Assessment_Cases'!I563="Not Implemented - Unplanned","1",".")))))))))</f>
        <v>.</v>
      </c>
      <c r="G563" s="16"/>
      <c r="H563" s="14"/>
      <c r="I563" s="92"/>
      <c r="J563" s="14"/>
      <c r="K563" s="8"/>
    </row>
    <row r="564" spans="1:11" s="1" customFormat="1" ht="16" x14ac:dyDescent="0.2">
      <c r="A564" s="4"/>
      <c r="B564" s="9"/>
      <c r="C564" s="89"/>
      <c r="D564" s="89"/>
      <c r="E564" s="4"/>
      <c r="F564" s="8" t="str">
        <f>IF('Self-Assessment_Cases'!I564="Implemented","5",IF('Self-Assessment_Cases'!I564="In Progress - Administrative","3",IF('Self-Assessment_Cases'!I564="In Progress - Configuration","3",IF('Self-Assessment_Cases'!I564="In Progress - Installation/Upgrade","3",IF('Self-Assessment_Cases'!I564="Not Implemented - Compensating Control","5",IF('Self-Assessment_Cases'!I564="Not Implemented - Risk Negligible","5",IF('Self-Assessment_Cases'!I564="Not Implemented - Risk Accepted","1",IF('Self-Assessment_Cases'!I564="Not Implemented - Planned","1",IF('Self-Assessment_Cases'!I564="Not Implemented - Unplanned","1",".")))))))))</f>
        <v>.</v>
      </c>
      <c r="G564" s="16"/>
      <c r="H564" s="14"/>
      <c r="I564" s="92"/>
      <c r="J564" s="14"/>
      <c r="K564" s="8"/>
    </row>
    <row r="565" spans="1:11" s="1" customFormat="1" ht="16" x14ac:dyDescent="0.2">
      <c r="A565" s="4"/>
      <c r="B565" s="9"/>
      <c r="C565" s="89"/>
      <c r="D565" s="89"/>
      <c r="E565" s="4"/>
      <c r="F565" s="8" t="str">
        <f>IF('Self-Assessment_Cases'!I565="Implemented","5",IF('Self-Assessment_Cases'!I565="In Progress - Administrative","3",IF('Self-Assessment_Cases'!I565="In Progress - Configuration","3",IF('Self-Assessment_Cases'!I565="In Progress - Installation/Upgrade","3",IF('Self-Assessment_Cases'!I565="Not Implemented - Compensating Control","5",IF('Self-Assessment_Cases'!I565="Not Implemented - Risk Negligible","5",IF('Self-Assessment_Cases'!I565="Not Implemented - Risk Accepted","1",IF('Self-Assessment_Cases'!I565="Not Implemented - Planned","1",IF('Self-Assessment_Cases'!I565="Not Implemented - Unplanned","1",".")))))))))</f>
        <v>.</v>
      </c>
      <c r="G565" s="16"/>
      <c r="H565" s="14"/>
      <c r="I565" s="92"/>
      <c r="J565" s="14"/>
      <c r="K565" s="8"/>
    </row>
    <row r="566" spans="1:11" s="1" customFormat="1" ht="16" x14ac:dyDescent="0.2">
      <c r="A566" s="4"/>
      <c r="B566" s="9"/>
      <c r="C566" s="89"/>
      <c r="D566" s="89"/>
      <c r="E566" s="4"/>
      <c r="F566" s="8" t="str">
        <f>IF('Self-Assessment_Cases'!I566="Implemented","5",IF('Self-Assessment_Cases'!I566="In Progress - Administrative","3",IF('Self-Assessment_Cases'!I566="In Progress - Configuration","3",IF('Self-Assessment_Cases'!I566="In Progress - Installation/Upgrade","3",IF('Self-Assessment_Cases'!I566="Not Implemented - Compensating Control","5",IF('Self-Assessment_Cases'!I566="Not Implemented - Risk Negligible","5",IF('Self-Assessment_Cases'!I566="Not Implemented - Risk Accepted","1",IF('Self-Assessment_Cases'!I566="Not Implemented - Planned","1",IF('Self-Assessment_Cases'!I566="Not Implemented - Unplanned","1",".")))))))))</f>
        <v>.</v>
      </c>
      <c r="G566" s="16"/>
      <c r="H566" s="14"/>
      <c r="I566" s="92"/>
      <c r="J566" s="14"/>
      <c r="K566" s="8"/>
    </row>
    <row r="567" spans="1:11" s="1" customFormat="1" ht="16" x14ac:dyDescent="0.2">
      <c r="A567" s="4"/>
      <c r="B567" s="9"/>
      <c r="C567" s="89"/>
      <c r="D567" s="89"/>
      <c r="E567" s="4"/>
      <c r="F567" s="8" t="str">
        <f>IF('Self-Assessment_Cases'!I567="Implemented","5",IF('Self-Assessment_Cases'!I567="In Progress - Administrative","3",IF('Self-Assessment_Cases'!I567="In Progress - Configuration","3",IF('Self-Assessment_Cases'!I567="In Progress - Installation/Upgrade","3",IF('Self-Assessment_Cases'!I567="Not Implemented - Compensating Control","5",IF('Self-Assessment_Cases'!I567="Not Implemented - Risk Negligible","5",IF('Self-Assessment_Cases'!I567="Not Implemented - Risk Accepted","1",IF('Self-Assessment_Cases'!I567="Not Implemented - Planned","1",IF('Self-Assessment_Cases'!I567="Not Implemented - Unplanned","1",".")))))))))</f>
        <v>.</v>
      </c>
      <c r="G567" s="16"/>
      <c r="H567" s="14"/>
      <c r="I567" s="92"/>
      <c r="J567" s="14"/>
      <c r="K567" s="8"/>
    </row>
    <row r="568" spans="1:11" s="1" customFormat="1" ht="16" x14ac:dyDescent="0.2">
      <c r="A568" s="4"/>
      <c r="B568" s="9"/>
      <c r="C568" s="89"/>
      <c r="D568" s="89"/>
      <c r="E568" s="4"/>
      <c r="F568" s="8" t="str">
        <f>IF('Self-Assessment_Cases'!I568="Implemented","5",IF('Self-Assessment_Cases'!I568="In Progress - Administrative","3",IF('Self-Assessment_Cases'!I568="In Progress - Configuration","3",IF('Self-Assessment_Cases'!I568="In Progress - Installation/Upgrade","3",IF('Self-Assessment_Cases'!I568="Not Implemented - Compensating Control","5",IF('Self-Assessment_Cases'!I568="Not Implemented - Risk Negligible","5",IF('Self-Assessment_Cases'!I568="Not Implemented - Risk Accepted","1",IF('Self-Assessment_Cases'!I568="Not Implemented - Planned","1",IF('Self-Assessment_Cases'!I568="Not Implemented - Unplanned","1",".")))))))))</f>
        <v>.</v>
      </c>
      <c r="G568" s="16"/>
      <c r="H568" s="14"/>
      <c r="I568" s="92"/>
      <c r="J568" s="14"/>
      <c r="K568" s="8"/>
    </row>
    <row r="569" spans="1:11" s="1" customFormat="1" ht="16" x14ac:dyDescent="0.2">
      <c r="A569" s="4"/>
      <c r="B569" s="9"/>
      <c r="C569" s="89"/>
      <c r="D569" s="89"/>
      <c r="E569" s="4"/>
      <c r="F569" s="8" t="str">
        <f>IF('Self-Assessment_Cases'!I569="Implemented","5",IF('Self-Assessment_Cases'!I569="In Progress - Administrative","3",IF('Self-Assessment_Cases'!I569="In Progress - Configuration","3",IF('Self-Assessment_Cases'!I569="In Progress - Installation/Upgrade","3",IF('Self-Assessment_Cases'!I569="Not Implemented - Compensating Control","5",IF('Self-Assessment_Cases'!I569="Not Implemented - Risk Negligible","5",IF('Self-Assessment_Cases'!I569="Not Implemented - Risk Accepted","1",IF('Self-Assessment_Cases'!I569="Not Implemented - Planned","1",IF('Self-Assessment_Cases'!I569="Not Implemented - Unplanned","1",".")))))))))</f>
        <v>.</v>
      </c>
      <c r="G569" s="16"/>
      <c r="H569" s="14"/>
      <c r="I569" s="92"/>
      <c r="J569" s="14"/>
      <c r="K569" s="8"/>
    </row>
    <row r="570" spans="1:11" s="1" customFormat="1" ht="16" x14ac:dyDescent="0.2">
      <c r="A570" s="4"/>
      <c r="B570" s="9"/>
      <c r="C570" s="89"/>
      <c r="D570" s="89"/>
      <c r="E570" s="4"/>
      <c r="F570" s="8" t="str">
        <f>IF('Self-Assessment_Cases'!I570="Implemented","5",IF('Self-Assessment_Cases'!I570="In Progress - Administrative","3",IF('Self-Assessment_Cases'!I570="In Progress - Configuration","3",IF('Self-Assessment_Cases'!I570="In Progress - Installation/Upgrade","3",IF('Self-Assessment_Cases'!I570="Not Implemented - Compensating Control","5",IF('Self-Assessment_Cases'!I570="Not Implemented - Risk Negligible","5",IF('Self-Assessment_Cases'!I570="Not Implemented - Risk Accepted","1",IF('Self-Assessment_Cases'!I570="Not Implemented - Planned","1",IF('Self-Assessment_Cases'!I570="Not Implemented - Unplanned","1",".")))))))))</f>
        <v>.</v>
      </c>
      <c r="G570" s="16"/>
      <c r="H570" s="14"/>
      <c r="I570" s="92"/>
      <c r="J570" s="14"/>
      <c r="K570" s="8"/>
    </row>
    <row r="571" spans="1:11" s="1" customFormat="1" ht="16" x14ac:dyDescent="0.2">
      <c r="A571" s="4"/>
      <c r="B571" s="9"/>
      <c r="C571" s="89"/>
      <c r="D571" s="89"/>
      <c r="E571" s="4"/>
      <c r="F571" s="8" t="str">
        <f>IF('Self-Assessment_Cases'!I571="Implemented","5",IF('Self-Assessment_Cases'!I571="In Progress - Administrative","3",IF('Self-Assessment_Cases'!I571="In Progress - Configuration","3",IF('Self-Assessment_Cases'!I571="In Progress - Installation/Upgrade","3",IF('Self-Assessment_Cases'!I571="Not Implemented - Compensating Control","5",IF('Self-Assessment_Cases'!I571="Not Implemented - Risk Negligible","5",IF('Self-Assessment_Cases'!I571="Not Implemented - Risk Accepted","1",IF('Self-Assessment_Cases'!I571="Not Implemented - Planned","1",IF('Self-Assessment_Cases'!I571="Not Implemented - Unplanned","1",".")))))))))</f>
        <v>.</v>
      </c>
      <c r="G571" s="16"/>
      <c r="H571" s="14"/>
      <c r="I571" s="92"/>
      <c r="J571" s="14"/>
      <c r="K571" s="8"/>
    </row>
    <row r="572" spans="1:11" s="1" customFormat="1" ht="16" x14ac:dyDescent="0.2">
      <c r="A572" s="4"/>
      <c r="B572" s="9"/>
      <c r="C572" s="89"/>
      <c r="D572" s="89"/>
      <c r="E572" s="4"/>
      <c r="F572" s="8" t="str">
        <f>IF('Self-Assessment_Cases'!I572="Implemented","5",IF('Self-Assessment_Cases'!I572="In Progress - Administrative","3",IF('Self-Assessment_Cases'!I572="In Progress - Configuration","3",IF('Self-Assessment_Cases'!I572="In Progress - Installation/Upgrade","3",IF('Self-Assessment_Cases'!I572="Not Implemented - Compensating Control","5",IF('Self-Assessment_Cases'!I572="Not Implemented - Risk Negligible","5",IF('Self-Assessment_Cases'!I572="Not Implemented - Risk Accepted","1",IF('Self-Assessment_Cases'!I572="Not Implemented - Planned","1",IF('Self-Assessment_Cases'!I572="Not Implemented - Unplanned","1",".")))))))))</f>
        <v>.</v>
      </c>
      <c r="G572" s="16"/>
      <c r="H572" s="14"/>
      <c r="I572" s="92"/>
      <c r="J572" s="14"/>
      <c r="K572" s="8"/>
    </row>
    <row r="573" spans="1:11" s="1" customFormat="1" ht="16" x14ac:dyDescent="0.2">
      <c r="A573" s="4"/>
      <c r="B573" s="9"/>
      <c r="C573" s="89"/>
      <c r="D573" s="89"/>
      <c r="E573" s="4"/>
      <c r="F573" s="8" t="str">
        <f>IF('Self-Assessment_Cases'!I573="Implemented","5",IF('Self-Assessment_Cases'!I573="In Progress - Administrative","3",IF('Self-Assessment_Cases'!I573="In Progress - Configuration","3",IF('Self-Assessment_Cases'!I573="In Progress - Installation/Upgrade","3",IF('Self-Assessment_Cases'!I573="Not Implemented - Compensating Control","5",IF('Self-Assessment_Cases'!I573="Not Implemented - Risk Negligible","5",IF('Self-Assessment_Cases'!I573="Not Implemented - Risk Accepted","1",IF('Self-Assessment_Cases'!I573="Not Implemented - Planned","1",IF('Self-Assessment_Cases'!I573="Not Implemented - Unplanned","1",".")))))))))</f>
        <v>.</v>
      </c>
      <c r="G573" s="16"/>
      <c r="H573" s="14"/>
      <c r="I573" s="92"/>
      <c r="J573" s="14"/>
      <c r="K573" s="8"/>
    </row>
    <row r="574" spans="1:11" s="1" customFormat="1" ht="16" x14ac:dyDescent="0.2">
      <c r="A574" s="4"/>
      <c r="B574" s="9"/>
      <c r="C574" s="89"/>
      <c r="D574" s="89"/>
      <c r="E574" s="4"/>
      <c r="F574" s="8" t="str">
        <f>IF('Self-Assessment_Cases'!I574="Implemented","5",IF('Self-Assessment_Cases'!I574="In Progress - Administrative","3",IF('Self-Assessment_Cases'!I574="In Progress - Configuration","3",IF('Self-Assessment_Cases'!I574="In Progress - Installation/Upgrade","3",IF('Self-Assessment_Cases'!I574="Not Implemented - Compensating Control","5",IF('Self-Assessment_Cases'!I574="Not Implemented - Risk Negligible","5",IF('Self-Assessment_Cases'!I574="Not Implemented - Risk Accepted","1",IF('Self-Assessment_Cases'!I574="Not Implemented - Planned","1",IF('Self-Assessment_Cases'!I574="Not Implemented - Unplanned","1",".")))))))))</f>
        <v>.</v>
      </c>
      <c r="G574" s="16"/>
      <c r="H574" s="14"/>
      <c r="I574" s="92"/>
      <c r="J574" s="14"/>
      <c r="K574" s="8"/>
    </row>
    <row r="575" spans="1:11" s="1" customFormat="1" ht="16" x14ac:dyDescent="0.2">
      <c r="A575" s="4"/>
      <c r="B575" s="9"/>
      <c r="C575" s="89"/>
      <c r="D575" s="89"/>
      <c r="E575" s="4"/>
      <c r="F575" s="8" t="str">
        <f>IF('Self-Assessment_Cases'!I575="Implemented","5",IF('Self-Assessment_Cases'!I575="In Progress - Administrative","3",IF('Self-Assessment_Cases'!I575="In Progress - Configuration","3",IF('Self-Assessment_Cases'!I575="In Progress - Installation/Upgrade","3",IF('Self-Assessment_Cases'!I575="Not Implemented - Compensating Control","5",IF('Self-Assessment_Cases'!I575="Not Implemented - Risk Negligible","5",IF('Self-Assessment_Cases'!I575="Not Implemented - Risk Accepted","1",IF('Self-Assessment_Cases'!I575="Not Implemented - Planned","1",IF('Self-Assessment_Cases'!I575="Not Implemented - Unplanned","1",".")))))))))</f>
        <v>.</v>
      </c>
      <c r="G575" s="16"/>
      <c r="H575" s="14"/>
      <c r="I575" s="92"/>
      <c r="J575" s="14"/>
      <c r="K575" s="8"/>
    </row>
    <row r="576" spans="1:11" s="1" customFormat="1" ht="16" x14ac:dyDescent="0.2">
      <c r="A576" s="4"/>
      <c r="B576" s="9"/>
      <c r="C576" s="89"/>
      <c r="D576" s="89"/>
      <c r="E576" s="4"/>
      <c r="F576" s="8" t="str">
        <f>IF('Self-Assessment_Cases'!I576="Implemented","5",IF('Self-Assessment_Cases'!I576="In Progress - Administrative","3",IF('Self-Assessment_Cases'!I576="In Progress - Configuration","3",IF('Self-Assessment_Cases'!I576="In Progress - Installation/Upgrade","3",IF('Self-Assessment_Cases'!I576="Not Implemented - Compensating Control","5",IF('Self-Assessment_Cases'!I576="Not Implemented - Risk Negligible","5",IF('Self-Assessment_Cases'!I576="Not Implemented - Risk Accepted","1",IF('Self-Assessment_Cases'!I576="Not Implemented - Planned","1",IF('Self-Assessment_Cases'!I576="Not Implemented - Unplanned","1",".")))))))))</f>
        <v>.</v>
      </c>
      <c r="G576" s="16"/>
      <c r="H576" s="14"/>
      <c r="I576" s="92"/>
      <c r="J576" s="14"/>
      <c r="K576" s="8"/>
    </row>
    <row r="577" spans="1:11" s="1" customFormat="1" ht="16" x14ac:dyDescent="0.2">
      <c r="A577" s="4"/>
      <c r="B577" s="9"/>
      <c r="C577" s="89"/>
      <c r="D577" s="89"/>
      <c r="E577" s="4"/>
      <c r="F577" s="8" t="str">
        <f>IF('Self-Assessment_Cases'!I577="Implemented","5",IF('Self-Assessment_Cases'!I577="In Progress - Administrative","3",IF('Self-Assessment_Cases'!I577="In Progress - Configuration","3",IF('Self-Assessment_Cases'!I577="In Progress - Installation/Upgrade","3",IF('Self-Assessment_Cases'!I577="Not Implemented - Compensating Control","5",IF('Self-Assessment_Cases'!I577="Not Implemented - Risk Negligible","5",IF('Self-Assessment_Cases'!I577="Not Implemented - Risk Accepted","1",IF('Self-Assessment_Cases'!I577="Not Implemented - Planned","1",IF('Self-Assessment_Cases'!I577="Not Implemented - Unplanned","1",".")))))))))</f>
        <v>.</v>
      </c>
      <c r="G577" s="16"/>
      <c r="H577" s="14"/>
      <c r="I577" s="92"/>
      <c r="J577" s="14"/>
      <c r="K577" s="8"/>
    </row>
    <row r="578" spans="1:11" s="1" customFormat="1" ht="16" x14ac:dyDescent="0.2">
      <c r="A578" s="4"/>
      <c r="B578" s="9"/>
      <c r="C578" s="89"/>
      <c r="D578" s="89"/>
      <c r="E578" s="4"/>
      <c r="F578" s="8" t="str">
        <f>IF('Self-Assessment_Cases'!I578="Implemented","5",IF('Self-Assessment_Cases'!I578="In Progress - Administrative","3",IF('Self-Assessment_Cases'!I578="In Progress - Configuration","3",IF('Self-Assessment_Cases'!I578="In Progress - Installation/Upgrade","3",IF('Self-Assessment_Cases'!I578="Not Implemented - Compensating Control","5",IF('Self-Assessment_Cases'!I578="Not Implemented - Risk Negligible","5",IF('Self-Assessment_Cases'!I578="Not Implemented - Risk Accepted","1",IF('Self-Assessment_Cases'!I578="Not Implemented - Planned","1",IF('Self-Assessment_Cases'!I578="Not Implemented - Unplanned","1",".")))))))))</f>
        <v>.</v>
      </c>
      <c r="G578" s="16"/>
      <c r="H578" s="14"/>
      <c r="I578" s="92"/>
      <c r="J578" s="14"/>
      <c r="K578" s="8"/>
    </row>
    <row r="579" spans="1:11" s="1" customFormat="1" ht="16" x14ac:dyDescent="0.2">
      <c r="A579" s="4"/>
      <c r="B579" s="9"/>
      <c r="C579" s="89"/>
      <c r="D579" s="89"/>
      <c r="E579" s="4"/>
      <c r="F579" s="8" t="str">
        <f>IF('Self-Assessment_Cases'!I579="Implemented","5",IF('Self-Assessment_Cases'!I579="In Progress - Administrative","3",IF('Self-Assessment_Cases'!I579="In Progress - Configuration","3",IF('Self-Assessment_Cases'!I579="In Progress - Installation/Upgrade","3",IF('Self-Assessment_Cases'!I579="Not Implemented - Compensating Control","5",IF('Self-Assessment_Cases'!I579="Not Implemented - Risk Negligible","5",IF('Self-Assessment_Cases'!I579="Not Implemented - Risk Accepted","1",IF('Self-Assessment_Cases'!I579="Not Implemented - Planned","1",IF('Self-Assessment_Cases'!I579="Not Implemented - Unplanned","1",".")))))))))</f>
        <v>.</v>
      </c>
      <c r="G579" s="16"/>
      <c r="H579" s="14"/>
      <c r="I579" s="92"/>
      <c r="J579" s="14"/>
      <c r="K579" s="8"/>
    </row>
    <row r="580" spans="1:11" s="1" customFormat="1" ht="16" x14ac:dyDescent="0.2">
      <c r="A580" s="4"/>
      <c r="B580" s="9"/>
      <c r="C580" s="89"/>
      <c r="D580" s="89"/>
      <c r="E580" s="4"/>
      <c r="F580" s="8" t="str">
        <f>IF('Self-Assessment_Cases'!I580="Implemented","5",IF('Self-Assessment_Cases'!I580="In Progress - Administrative","3",IF('Self-Assessment_Cases'!I580="In Progress - Configuration","3",IF('Self-Assessment_Cases'!I580="In Progress - Installation/Upgrade","3",IF('Self-Assessment_Cases'!I580="Not Implemented - Compensating Control","5",IF('Self-Assessment_Cases'!I580="Not Implemented - Risk Negligible","5",IF('Self-Assessment_Cases'!I580="Not Implemented - Risk Accepted","1",IF('Self-Assessment_Cases'!I580="Not Implemented - Planned","1",IF('Self-Assessment_Cases'!I580="Not Implemented - Unplanned","1",".")))))))))</f>
        <v>.</v>
      </c>
      <c r="G580" s="16"/>
      <c r="H580" s="14"/>
      <c r="I580" s="92"/>
      <c r="J580" s="14"/>
      <c r="K580" s="8"/>
    </row>
    <row r="581" spans="1:11" s="1" customFormat="1" ht="16" x14ac:dyDescent="0.2">
      <c r="A581" s="4"/>
      <c r="B581" s="9"/>
      <c r="C581" s="89"/>
      <c r="D581" s="89"/>
      <c r="E581" s="4"/>
      <c r="F581" s="8" t="str">
        <f>IF('Self-Assessment_Cases'!I581="Implemented","5",IF('Self-Assessment_Cases'!I581="In Progress - Administrative","3",IF('Self-Assessment_Cases'!I581="In Progress - Configuration","3",IF('Self-Assessment_Cases'!I581="In Progress - Installation/Upgrade","3",IF('Self-Assessment_Cases'!I581="Not Implemented - Compensating Control","5",IF('Self-Assessment_Cases'!I581="Not Implemented - Risk Negligible","5",IF('Self-Assessment_Cases'!I581="Not Implemented - Risk Accepted","1",IF('Self-Assessment_Cases'!I581="Not Implemented - Planned","1",IF('Self-Assessment_Cases'!I581="Not Implemented - Unplanned","1",".")))))))))</f>
        <v>.</v>
      </c>
      <c r="G581" s="16"/>
      <c r="H581" s="14"/>
      <c r="I581" s="92"/>
      <c r="J581" s="14"/>
      <c r="K581" s="8"/>
    </row>
    <row r="582" spans="1:11" s="1" customFormat="1" ht="16" x14ac:dyDescent="0.2">
      <c r="A582" s="4"/>
      <c r="B582" s="9"/>
      <c r="C582" s="89"/>
      <c r="D582" s="89"/>
      <c r="E582" s="4"/>
      <c r="F582" s="8" t="str">
        <f>IF('Self-Assessment_Cases'!I582="Implemented","5",IF('Self-Assessment_Cases'!I582="In Progress - Administrative","3",IF('Self-Assessment_Cases'!I582="In Progress - Configuration","3",IF('Self-Assessment_Cases'!I582="In Progress - Installation/Upgrade","3",IF('Self-Assessment_Cases'!I582="Not Implemented - Compensating Control","5",IF('Self-Assessment_Cases'!I582="Not Implemented - Risk Negligible","5",IF('Self-Assessment_Cases'!I582="Not Implemented - Risk Accepted","1",IF('Self-Assessment_Cases'!I582="Not Implemented - Planned","1",IF('Self-Assessment_Cases'!I582="Not Implemented - Unplanned","1",".")))))))))</f>
        <v>.</v>
      </c>
      <c r="G582" s="16"/>
      <c r="H582" s="14"/>
      <c r="I582" s="92"/>
      <c r="J582" s="14"/>
      <c r="K582" s="8"/>
    </row>
    <row r="583" spans="1:11" s="1" customFormat="1" ht="16" x14ac:dyDescent="0.2">
      <c r="A583" s="4"/>
      <c r="B583" s="9"/>
      <c r="C583" s="89"/>
      <c r="D583" s="89"/>
      <c r="E583" s="4"/>
      <c r="F583" s="8" t="str">
        <f>IF('Self-Assessment_Cases'!I583="Implemented","5",IF('Self-Assessment_Cases'!I583="In Progress - Administrative","3",IF('Self-Assessment_Cases'!I583="In Progress - Configuration","3",IF('Self-Assessment_Cases'!I583="In Progress - Installation/Upgrade","3",IF('Self-Assessment_Cases'!I583="Not Implemented - Compensating Control","5",IF('Self-Assessment_Cases'!I583="Not Implemented - Risk Negligible","5",IF('Self-Assessment_Cases'!I583="Not Implemented - Risk Accepted","1",IF('Self-Assessment_Cases'!I583="Not Implemented - Planned","1",IF('Self-Assessment_Cases'!I583="Not Implemented - Unplanned","1",".")))))))))</f>
        <v>.</v>
      </c>
      <c r="G583" s="16"/>
      <c r="H583" s="14"/>
      <c r="I583" s="92"/>
      <c r="J583" s="14"/>
      <c r="K583" s="8"/>
    </row>
    <row r="584" spans="1:11" s="1" customFormat="1" ht="16" x14ac:dyDescent="0.2">
      <c r="A584" s="4"/>
      <c r="B584" s="9"/>
      <c r="C584" s="89"/>
      <c r="D584" s="89"/>
      <c r="E584" s="4"/>
      <c r="F584" s="8" t="str">
        <f>IF('Self-Assessment_Cases'!I584="Implemented","5",IF('Self-Assessment_Cases'!I584="In Progress - Administrative","3",IF('Self-Assessment_Cases'!I584="In Progress - Configuration","3",IF('Self-Assessment_Cases'!I584="In Progress - Installation/Upgrade","3",IF('Self-Assessment_Cases'!I584="Not Implemented - Compensating Control","5",IF('Self-Assessment_Cases'!I584="Not Implemented - Risk Negligible","5",IF('Self-Assessment_Cases'!I584="Not Implemented - Risk Accepted","1",IF('Self-Assessment_Cases'!I584="Not Implemented - Planned","1",IF('Self-Assessment_Cases'!I584="Not Implemented - Unplanned","1",".")))))))))</f>
        <v>.</v>
      </c>
      <c r="G584" s="16"/>
      <c r="H584" s="14"/>
      <c r="I584" s="92"/>
      <c r="J584" s="14"/>
      <c r="K584" s="8"/>
    </row>
    <row r="585" spans="1:11" s="1" customFormat="1" ht="16" x14ac:dyDescent="0.2">
      <c r="A585" s="4"/>
      <c r="B585" s="9"/>
      <c r="C585" s="89"/>
      <c r="D585" s="89"/>
      <c r="E585" s="4"/>
      <c r="F585" s="8" t="str">
        <f>IF('Self-Assessment_Cases'!I585="Implemented","5",IF('Self-Assessment_Cases'!I585="In Progress - Administrative","3",IF('Self-Assessment_Cases'!I585="In Progress - Configuration","3",IF('Self-Assessment_Cases'!I585="In Progress - Installation/Upgrade","3",IF('Self-Assessment_Cases'!I585="Not Implemented - Compensating Control","5",IF('Self-Assessment_Cases'!I585="Not Implemented - Risk Negligible","5",IF('Self-Assessment_Cases'!I585="Not Implemented - Risk Accepted","1",IF('Self-Assessment_Cases'!I585="Not Implemented - Planned","1",IF('Self-Assessment_Cases'!I585="Not Implemented - Unplanned","1",".")))))))))</f>
        <v>.</v>
      </c>
      <c r="G585" s="16"/>
      <c r="H585" s="14"/>
      <c r="I585" s="92"/>
      <c r="J585" s="14"/>
      <c r="K585" s="8"/>
    </row>
    <row r="586" spans="1:11" s="1" customFormat="1" ht="16" x14ac:dyDescent="0.2">
      <c r="A586" s="4"/>
      <c r="B586" s="9"/>
      <c r="C586" s="89"/>
      <c r="D586" s="89"/>
      <c r="E586" s="4"/>
      <c r="F586" s="8" t="str">
        <f>IF('Self-Assessment_Cases'!I586="Implemented","5",IF('Self-Assessment_Cases'!I586="In Progress - Administrative","3",IF('Self-Assessment_Cases'!I586="In Progress - Configuration","3",IF('Self-Assessment_Cases'!I586="In Progress - Installation/Upgrade","3",IF('Self-Assessment_Cases'!I586="Not Implemented - Compensating Control","5",IF('Self-Assessment_Cases'!I586="Not Implemented - Risk Negligible","5",IF('Self-Assessment_Cases'!I586="Not Implemented - Risk Accepted","1",IF('Self-Assessment_Cases'!I586="Not Implemented - Planned","1",IF('Self-Assessment_Cases'!I586="Not Implemented - Unplanned","1",".")))))))))</f>
        <v>.</v>
      </c>
      <c r="G586" s="16"/>
      <c r="H586" s="14"/>
      <c r="I586" s="92"/>
      <c r="J586" s="14"/>
      <c r="K586" s="8"/>
    </row>
    <row r="587" spans="1:11" s="1" customFormat="1" ht="16" x14ac:dyDescent="0.2">
      <c r="A587" s="4"/>
      <c r="B587" s="9"/>
      <c r="C587" s="89"/>
      <c r="D587" s="89"/>
      <c r="E587" s="4"/>
      <c r="F587" s="8" t="str">
        <f>IF('Self-Assessment_Cases'!I587="Implemented","5",IF('Self-Assessment_Cases'!I587="In Progress - Administrative","3",IF('Self-Assessment_Cases'!I587="In Progress - Configuration","3",IF('Self-Assessment_Cases'!I587="In Progress - Installation/Upgrade","3",IF('Self-Assessment_Cases'!I587="Not Implemented - Compensating Control","5",IF('Self-Assessment_Cases'!I587="Not Implemented - Risk Negligible","5",IF('Self-Assessment_Cases'!I587="Not Implemented - Risk Accepted","1",IF('Self-Assessment_Cases'!I587="Not Implemented - Planned","1",IF('Self-Assessment_Cases'!I587="Not Implemented - Unplanned","1",".")))))))))</f>
        <v>.</v>
      </c>
      <c r="G587" s="16"/>
      <c r="H587" s="14"/>
      <c r="I587" s="92"/>
      <c r="J587" s="14"/>
      <c r="K587" s="8"/>
    </row>
    <row r="588" spans="1:11" s="1" customFormat="1" ht="16" x14ac:dyDescent="0.2">
      <c r="A588" s="4"/>
      <c r="B588" s="9"/>
      <c r="C588" s="89"/>
      <c r="D588" s="89"/>
      <c r="E588" s="4"/>
      <c r="F588" s="8" t="str">
        <f>IF('Self-Assessment_Cases'!I588="Implemented","5",IF('Self-Assessment_Cases'!I588="In Progress - Administrative","3",IF('Self-Assessment_Cases'!I588="In Progress - Configuration","3",IF('Self-Assessment_Cases'!I588="In Progress - Installation/Upgrade","3",IF('Self-Assessment_Cases'!I588="Not Implemented - Compensating Control","5",IF('Self-Assessment_Cases'!I588="Not Implemented - Risk Negligible","5",IF('Self-Assessment_Cases'!I588="Not Implemented - Risk Accepted","1",IF('Self-Assessment_Cases'!I588="Not Implemented - Planned","1",IF('Self-Assessment_Cases'!I588="Not Implemented - Unplanned","1",".")))))))))</f>
        <v>.</v>
      </c>
      <c r="G588" s="16"/>
      <c r="H588" s="14"/>
      <c r="I588" s="92"/>
      <c r="J588" s="14"/>
      <c r="K588" s="8"/>
    </row>
    <row r="589" spans="1:11" s="1" customFormat="1" ht="16" x14ac:dyDescent="0.2">
      <c r="A589" s="4"/>
      <c r="B589" s="9"/>
      <c r="C589" s="89"/>
      <c r="D589" s="89"/>
      <c r="E589" s="4"/>
      <c r="F589" s="8" t="str">
        <f>IF('Self-Assessment_Cases'!I589="Implemented","5",IF('Self-Assessment_Cases'!I589="In Progress - Administrative","3",IF('Self-Assessment_Cases'!I589="In Progress - Configuration","3",IF('Self-Assessment_Cases'!I589="In Progress - Installation/Upgrade","3",IF('Self-Assessment_Cases'!I589="Not Implemented - Compensating Control","5",IF('Self-Assessment_Cases'!I589="Not Implemented - Risk Negligible","5",IF('Self-Assessment_Cases'!I589="Not Implemented - Risk Accepted","1",IF('Self-Assessment_Cases'!I589="Not Implemented - Planned","1",IF('Self-Assessment_Cases'!I589="Not Implemented - Unplanned","1",".")))))))))</f>
        <v>.</v>
      </c>
      <c r="G589" s="16"/>
      <c r="H589" s="14"/>
      <c r="I589" s="92"/>
      <c r="J589" s="14"/>
      <c r="K589" s="8"/>
    </row>
    <row r="590" spans="1:11" s="1" customFormat="1" ht="16" x14ac:dyDescent="0.2">
      <c r="A590" s="4"/>
      <c r="B590" s="9"/>
      <c r="C590" s="89"/>
      <c r="D590" s="89"/>
      <c r="E590" s="4"/>
      <c r="F590" s="8" t="str">
        <f>IF('Self-Assessment_Cases'!I590="Implemented","5",IF('Self-Assessment_Cases'!I590="In Progress - Administrative","3",IF('Self-Assessment_Cases'!I590="In Progress - Configuration","3",IF('Self-Assessment_Cases'!I590="In Progress - Installation/Upgrade","3",IF('Self-Assessment_Cases'!I590="Not Implemented - Compensating Control","5",IF('Self-Assessment_Cases'!I590="Not Implemented - Risk Negligible","5",IF('Self-Assessment_Cases'!I590="Not Implemented - Risk Accepted","1",IF('Self-Assessment_Cases'!I590="Not Implemented - Planned","1",IF('Self-Assessment_Cases'!I590="Not Implemented - Unplanned","1",".")))))))))</f>
        <v>.</v>
      </c>
      <c r="G590" s="16"/>
      <c r="H590" s="14"/>
      <c r="I590" s="92"/>
      <c r="J590" s="14"/>
      <c r="K590" s="8"/>
    </row>
    <row r="591" spans="1:11" s="1" customFormat="1" ht="16" x14ac:dyDescent="0.2">
      <c r="A591" s="4"/>
      <c r="B591" s="9"/>
      <c r="C591" s="89"/>
      <c r="D591" s="89"/>
      <c r="E591" s="4"/>
      <c r="F591" s="8" t="str">
        <f>IF('Self-Assessment_Cases'!I591="Implemented","5",IF('Self-Assessment_Cases'!I591="In Progress - Administrative","3",IF('Self-Assessment_Cases'!I591="In Progress - Configuration","3",IF('Self-Assessment_Cases'!I591="In Progress - Installation/Upgrade","3",IF('Self-Assessment_Cases'!I591="Not Implemented - Compensating Control","5",IF('Self-Assessment_Cases'!I591="Not Implemented - Risk Negligible","5",IF('Self-Assessment_Cases'!I591="Not Implemented - Risk Accepted","1",IF('Self-Assessment_Cases'!I591="Not Implemented - Planned","1",IF('Self-Assessment_Cases'!I591="Not Implemented - Unplanned","1",".")))))))))</f>
        <v>.</v>
      </c>
      <c r="G591" s="16"/>
      <c r="H591" s="14"/>
      <c r="I591" s="92"/>
      <c r="J591" s="14"/>
      <c r="K591" s="8"/>
    </row>
    <row r="592" spans="1:11" s="1" customFormat="1" ht="16" x14ac:dyDescent="0.2">
      <c r="A592" s="4"/>
      <c r="B592" s="9"/>
      <c r="C592" s="89"/>
      <c r="D592" s="89"/>
      <c r="E592" s="4"/>
      <c r="F592" s="8" t="str">
        <f>IF('Self-Assessment_Cases'!I592="Implemented","5",IF('Self-Assessment_Cases'!I592="In Progress - Administrative","3",IF('Self-Assessment_Cases'!I592="In Progress - Configuration","3",IF('Self-Assessment_Cases'!I592="In Progress - Installation/Upgrade","3",IF('Self-Assessment_Cases'!I592="Not Implemented - Compensating Control","5",IF('Self-Assessment_Cases'!I592="Not Implemented - Risk Negligible","5",IF('Self-Assessment_Cases'!I592="Not Implemented - Risk Accepted","1",IF('Self-Assessment_Cases'!I592="Not Implemented - Planned","1",IF('Self-Assessment_Cases'!I592="Not Implemented - Unplanned","1",".")))))))))</f>
        <v>.</v>
      </c>
      <c r="G592" s="16"/>
      <c r="H592" s="14"/>
      <c r="I592" s="92"/>
      <c r="J592" s="14"/>
      <c r="K592" s="8"/>
    </row>
    <row r="593" spans="1:11" s="1" customFormat="1" ht="16" x14ac:dyDescent="0.2">
      <c r="A593" s="4"/>
      <c r="B593" s="9"/>
      <c r="C593" s="89"/>
      <c r="D593" s="89"/>
      <c r="E593" s="4"/>
      <c r="F593" s="8" t="str">
        <f>IF('Self-Assessment_Cases'!I593="Implemented","5",IF('Self-Assessment_Cases'!I593="In Progress - Administrative","3",IF('Self-Assessment_Cases'!I593="In Progress - Configuration","3",IF('Self-Assessment_Cases'!I593="In Progress - Installation/Upgrade","3",IF('Self-Assessment_Cases'!I593="Not Implemented - Compensating Control","5",IF('Self-Assessment_Cases'!I593="Not Implemented - Risk Negligible","5",IF('Self-Assessment_Cases'!I593="Not Implemented - Risk Accepted","1",IF('Self-Assessment_Cases'!I593="Not Implemented - Planned","1",IF('Self-Assessment_Cases'!I593="Not Implemented - Unplanned","1",".")))))))))</f>
        <v>.</v>
      </c>
      <c r="G593" s="16"/>
      <c r="H593" s="14"/>
      <c r="I593" s="92"/>
      <c r="J593" s="14"/>
      <c r="K593" s="8"/>
    </row>
    <row r="594" spans="1:11" s="1" customFormat="1" ht="16" x14ac:dyDescent="0.2">
      <c r="A594" s="4"/>
      <c r="B594" s="9"/>
      <c r="C594" s="89"/>
      <c r="D594" s="89"/>
      <c r="E594" s="4"/>
      <c r="F594" s="8" t="str">
        <f>IF('Self-Assessment_Cases'!I594="Implemented","5",IF('Self-Assessment_Cases'!I594="In Progress - Administrative","3",IF('Self-Assessment_Cases'!I594="In Progress - Configuration","3",IF('Self-Assessment_Cases'!I594="In Progress - Installation/Upgrade","3",IF('Self-Assessment_Cases'!I594="Not Implemented - Compensating Control","5",IF('Self-Assessment_Cases'!I594="Not Implemented - Risk Negligible","5",IF('Self-Assessment_Cases'!I594="Not Implemented - Risk Accepted","1",IF('Self-Assessment_Cases'!I594="Not Implemented - Planned","1",IF('Self-Assessment_Cases'!I594="Not Implemented - Unplanned","1",".")))))))))</f>
        <v>.</v>
      </c>
      <c r="G594" s="16"/>
      <c r="H594" s="14"/>
      <c r="I594" s="92"/>
      <c r="J594" s="14"/>
      <c r="K594" s="8"/>
    </row>
    <row r="595" spans="1:11" s="1" customFormat="1" ht="16" x14ac:dyDescent="0.2">
      <c r="A595" s="4"/>
      <c r="B595" s="9"/>
      <c r="C595" s="89"/>
      <c r="D595" s="89"/>
      <c r="E595" s="4"/>
      <c r="F595" s="8" t="str">
        <f>IF('Self-Assessment_Cases'!I595="Implemented","5",IF('Self-Assessment_Cases'!I595="In Progress - Administrative","3",IF('Self-Assessment_Cases'!I595="In Progress - Configuration","3",IF('Self-Assessment_Cases'!I595="In Progress - Installation/Upgrade","3",IF('Self-Assessment_Cases'!I595="Not Implemented - Compensating Control","5",IF('Self-Assessment_Cases'!I595="Not Implemented - Risk Negligible","5",IF('Self-Assessment_Cases'!I595="Not Implemented - Risk Accepted","1",IF('Self-Assessment_Cases'!I595="Not Implemented - Planned","1",IF('Self-Assessment_Cases'!I595="Not Implemented - Unplanned","1",".")))))))))</f>
        <v>.</v>
      </c>
      <c r="G595" s="16"/>
      <c r="H595" s="14"/>
      <c r="I595" s="92"/>
      <c r="J595" s="14"/>
      <c r="K595" s="8"/>
    </row>
    <row r="596" spans="1:11" s="1" customFormat="1" ht="16" x14ac:dyDescent="0.2">
      <c r="A596" s="4"/>
      <c r="B596" s="9"/>
      <c r="C596" s="89"/>
      <c r="D596" s="89"/>
      <c r="E596" s="4"/>
      <c r="F596" s="8" t="str">
        <f>IF('Self-Assessment_Cases'!I596="Implemented","5",IF('Self-Assessment_Cases'!I596="In Progress - Administrative","3",IF('Self-Assessment_Cases'!I596="In Progress - Configuration","3",IF('Self-Assessment_Cases'!I596="In Progress - Installation/Upgrade","3",IF('Self-Assessment_Cases'!I596="Not Implemented - Compensating Control","5",IF('Self-Assessment_Cases'!I596="Not Implemented - Risk Negligible","5",IF('Self-Assessment_Cases'!I596="Not Implemented - Risk Accepted","1",IF('Self-Assessment_Cases'!I596="Not Implemented - Planned","1",IF('Self-Assessment_Cases'!I596="Not Implemented - Unplanned","1",".")))))))))</f>
        <v>.</v>
      </c>
      <c r="G596" s="16"/>
      <c r="H596" s="14"/>
      <c r="I596" s="92"/>
      <c r="J596" s="14"/>
      <c r="K596" s="8"/>
    </row>
    <row r="597" spans="1:11" s="1" customFormat="1" ht="16" x14ac:dyDescent="0.2">
      <c r="A597" s="4"/>
      <c r="B597" s="9"/>
      <c r="C597" s="89"/>
      <c r="D597" s="89"/>
      <c r="E597" s="4"/>
      <c r="F597" s="8" t="str">
        <f>IF('Self-Assessment_Cases'!I597="Implemented","5",IF('Self-Assessment_Cases'!I597="In Progress - Administrative","3",IF('Self-Assessment_Cases'!I597="In Progress - Configuration","3",IF('Self-Assessment_Cases'!I597="In Progress - Installation/Upgrade","3",IF('Self-Assessment_Cases'!I597="Not Implemented - Compensating Control","5",IF('Self-Assessment_Cases'!I597="Not Implemented - Risk Negligible","5",IF('Self-Assessment_Cases'!I597="Not Implemented - Risk Accepted","1",IF('Self-Assessment_Cases'!I597="Not Implemented - Planned","1",IF('Self-Assessment_Cases'!I597="Not Implemented - Unplanned","1",".")))))))))</f>
        <v>.</v>
      </c>
      <c r="G597" s="16"/>
      <c r="H597" s="14"/>
      <c r="I597" s="92"/>
      <c r="J597" s="14"/>
      <c r="K597" s="8"/>
    </row>
    <row r="598" spans="1:11" s="1" customFormat="1" ht="16" x14ac:dyDescent="0.2">
      <c r="A598" s="4"/>
      <c r="B598" s="9"/>
      <c r="C598" s="89"/>
      <c r="D598" s="89"/>
      <c r="E598" s="4"/>
      <c r="F598" s="8" t="str">
        <f>IF('Self-Assessment_Cases'!I598="Implemented","5",IF('Self-Assessment_Cases'!I598="In Progress - Administrative","3",IF('Self-Assessment_Cases'!I598="In Progress - Configuration","3",IF('Self-Assessment_Cases'!I598="In Progress - Installation/Upgrade","3",IF('Self-Assessment_Cases'!I598="Not Implemented - Compensating Control","5",IF('Self-Assessment_Cases'!I598="Not Implemented - Risk Negligible","5",IF('Self-Assessment_Cases'!I598="Not Implemented - Risk Accepted","1",IF('Self-Assessment_Cases'!I598="Not Implemented - Planned","1",IF('Self-Assessment_Cases'!I598="Not Implemented - Unplanned","1",".")))))))))</f>
        <v>.</v>
      </c>
      <c r="G598" s="16"/>
      <c r="H598" s="14"/>
      <c r="I598" s="92"/>
      <c r="J598" s="14"/>
      <c r="K598" s="8"/>
    </row>
    <row r="599" spans="1:11" s="1" customFormat="1" ht="16" x14ac:dyDescent="0.2">
      <c r="A599" s="4"/>
      <c r="B599" s="9"/>
      <c r="C599" s="89"/>
      <c r="D599" s="89"/>
      <c r="E599" s="4"/>
      <c r="F599" s="8" t="str">
        <f>IF('Self-Assessment_Cases'!I599="Implemented","5",IF('Self-Assessment_Cases'!I599="In Progress - Administrative","3",IF('Self-Assessment_Cases'!I599="In Progress - Configuration","3",IF('Self-Assessment_Cases'!I599="In Progress - Installation/Upgrade","3",IF('Self-Assessment_Cases'!I599="Not Implemented - Compensating Control","5",IF('Self-Assessment_Cases'!I599="Not Implemented - Risk Negligible","5",IF('Self-Assessment_Cases'!I599="Not Implemented - Risk Accepted","1",IF('Self-Assessment_Cases'!I599="Not Implemented - Planned","1",IF('Self-Assessment_Cases'!I599="Not Implemented - Unplanned","1",".")))))))))</f>
        <v>.</v>
      </c>
      <c r="G599" s="16"/>
      <c r="H599" s="14"/>
      <c r="I599" s="92"/>
      <c r="J599" s="14"/>
      <c r="K599" s="8"/>
    </row>
    <row r="600" spans="1:11" s="1" customFormat="1" ht="16" x14ac:dyDescent="0.2">
      <c r="A600" s="4"/>
      <c r="B600" s="9"/>
      <c r="C600" s="89"/>
      <c r="D600" s="89"/>
      <c r="E600" s="4"/>
      <c r="F600" s="8" t="str">
        <f>IF('Self-Assessment_Cases'!I600="Implemented","5",IF('Self-Assessment_Cases'!I600="In Progress - Administrative","3",IF('Self-Assessment_Cases'!I600="In Progress - Configuration","3",IF('Self-Assessment_Cases'!I600="In Progress - Installation/Upgrade","3",IF('Self-Assessment_Cases'!I600="Not Implemented - Compensating Control","5",IF('Self-Assessment_Cases'!I600="Not Implemented - Risk Negligible","5",IF('Self-Assessment_Cases'!I600="Not Implemented - Risk Accepted","1",IF('Self-Assessment_Cases'!I600="Not Implemented - Planned","1",IF('Self-Assessment_Cases'!I600="Not Implemented - Unplanned","1",".")))))))))</f>
        <v>.</v>
      </c>
      <c r="G600" s="16"/>
      <c r="H600" s="14"/>
      <c r="I600" s="92"/>
      <c r="J600" s="14"/>
      <c r="K600" s="8"/>
    </row>
    <row r="601" spans="1:11" s="1" customFormat="1" ht="16" x14ac:dyDescent="0.2">
      <c r="A601" s="4"/>
      <c r="B601" s="9"/>
      <c r="C601" s="89"/>
      <c r="D601" s="89"/>
      <c r="E601" s="4"/>
      <c r="F601" s="8" t="str">
        <f>IF('Self-Assessment_Cases'!I601="Implemented","5",IF('Self-Assessment_Cases'!I601="In Progress - Administrative","3",IF('Self-Assessment_Cases'!I601="In Progress - Configuration","3",IF('Self-Assessment_Cases'!I601="In Progress - Installation/Upgrade","3",IF('Self-Assessment_Cases'!I601="Not Implemented - Compensating Control","5",IF('Self-Assessment_Cases'!I601="Not Implemented - Risk Negligible","5",IF('Self-Assessment_Cases'!I601="Not Implemented - Risk Accepted","1",IF('Self-Assessment_Cases'!I601="Not Implemented - Planned","1",IF('Self-Assessment_Cases'!I601="Not Implemented - Unplanned","1",".")))))))))</f>
        <v>.</v>
      </c>
      <c r="G601" s="16"/>
      <c r="H601" s="14"/>
      <c r="I601" s="92"/>
      <c r="J601" s="14"/>
      <c r="K601" s="8"/>
    </row>
    <row r="602" spans="1:11" s="1" customFormat="1" ht="16" x14ac:dyDescent="0.2">
      <c r="A602" s="4"/>
      <c r="B602" s="9"/>
      <c r="C602" s="89"/>
      <c r="D602" s="89"/>
      <c r="E602" s="4"/>
      <c r="F602" s="8" t="str">
        <f>IF('Self-Assessment_Cases'!I602="Implemented","5",IF('Self-Assessment_Cases'!I602="In Progress - Administrative","3",IF('Self-Assessment_Cases'!I602="In Progress - Configuration","3",IF('Self-Assessment_Cases'!I602="In Progress - Installation/Upgrade","3",IF('Self-Assessment_Cases'!I602="Not Implemented - Compensating Control","5",IF('Self-Assessment_Cases'!I602="Not Implemented - Risk Negligible","5",IF('Self-Assessment_Cases'!I602="Not Implemented - Risk Accepted","1",IF('Self-Assessment_Cases'!I602="Not Implemented - Planned","1",IF('Self-Assessment_Cases'!I602="Not Implemented - Unplanned","1",".")))))))))</f>
        <v>.</v>
      </c>
      <c r="G602" s="16"/>
      <c r="H602" s="14"/>
      <c r="I602" s="92"/>
      <c r="J602" s="14"/>
      <c r="K602" s="8"/>
    </row>
    <row r="603" spans="1:11" s="1" customFormat="1" ht="16" x14ac:dyDescent="0.2">
      <c r="A603" s="4"/>
      <c r="B603" s="9"/>
      <c r="C603" s="89"/>
      <c r="D603" s="89"/>
      <c r="E603" s="4"/>
      <c r="F603" s="8" t="str">
        <f>IF('Self-Assessment_Cases'!I603="Implemented","5",IF('Self-Assessment_Cases'!I603="In Progress - Administrative","3",IF('Self-Assessment_Cases'!I603="In Progress - Configuration","3",IF('Self-Assessment_Cases'!I603="In Progress - Installation/Upgrade","3",IF('Self-Assessment_Cases'!I603="Not Implemented - Compensating Control","5",IF('Self-Assessment_Cases'!I603="Not Implemented - Risk Negligible","5",IF('Self-Assessment_Cases'!I603="Not Implemented - Risk Accepted","1",IF('Self-Assessment_Cases'!I603="Not Implemented - Planned","1",IF('Self-Assessment_Cases'!I603="Not Implemented - Unplanned","1",".")))))))))</f>
        <v>.</v>
      </c>
      <c r="G603" s="16"/>
      <c r="H603" s="14"/>
      <c r="I603" s="92"/>
      <c r="J603" s="14"/>
      <c r="K603" s="8"/>
    </row>
    <row r="604" spans="1:11" s="1" customFormat="1" ht="16" x14ac:dyDescent="0.2">
      <c r="A604" s="4"/>
      <c r="B604" s="9"/>
      <c r="C604" s="89"/>
      <c r="D604" s="89"/>
      <c r="E604" s="4"/>
      <c r="F604" s="8" t="str">
        <f>IF('Self-Assessment_Cases'!I604="Implemented","5",IF('Self-Assessment_Cases'!I604="In Progress - Administrative","3",IF('Self-Assessment_Cases'!I604="In Progress - Configuration","3",IF('Self-Assessment_Cases'!I604="In Progress - Installation/Upgrade","3",IF('Self-Assessment_Cases'!I604="Not Implemented - Compensating Control","5",IF('Self-Assessment_Cases'!I604="Not Implemented - Risk Negligible","5",IF('Self-Assessment_Cases'!I604="Not Implemented - Risk Accepted","1",IF('Self-Assessment_Cases'!I604="Not Implemented - Planned","1",IF('Self-Assessment_Cases'!I604="Not Implemented - Unplanned","1",".")))))))))</f>
        <v>.</v>
      </c>
      <c r="G604" s="16"/>
      <c r="H604" s="14"/>
      <c r="I604" s="92"/>
      <c r="J604" s="14"/>
      <c r="K604" s="8"/>
    </row>
    <row r="605" spans="1:11" s="1" customFormat="1" ht="16" x14ac:dyDescent="0.2">
      <c r="A605" s="4"/>
      <c r="B605" s="9"/>
      <c r="C605" s="89"/>
      <c r="D605" s="89"/>
      <c r="E605" s="4"/>
      <c r="F605" s="8" t="str">
        <f>IF('Self-Assessment_Cases'!I605="Implemented","5",IF('Self-Assessment_Cases'!I605="In Progress - Administrative","3",IF('Self-Assessment_Cases'!I605="In Progress - Configuration","3",IF('Self-Assessment_Cases'!I605="In Progress - Installation/Upgrade","3",IF('Self-Assessment_Cases'!I605="Not Implemented - Compensating Control","5",IF('Self-Assessment_Cases'!I605="Not Implemented - Risk Negligible","5",IF('Self-Assessment_Cases'!I605="Not Implemented - Risk Accepted","1",IF('Self-Assessment_Cases'!I605="Not Implemented - Planned","1",IF('Self-Assessment_Cases'!I605="Not Implemented - Unplanned","1",".")))))))))</f>
        <v>.</v>
      </c>
      <c r="G605" s="16"/>
      <c r="H605" s="14"/>
      <c r="I605" s="92"/>
      <c r="J605" s="14"/>
      <c r="K605" s="8"/>
    </row>
    <row r="606" spans="1:11" s="1" customFormat="1" ht="16" x14ac:dyDescent="0.2">
      <c r="A606" s="4"/>
      <c r="B606" s="9"/>
      <c r="C606" s="89"/>
      <c r="D606" s="89"/>
      <c r="E606" s="4"/>
      <c r="F606" s="8" t="str">
        <f>IF('Self-Assessment_Cases'!I606="Implemented","5",IF('Self-Assessment_Cases'!I606="In Progress - Administrative","3",IF('Self-Assessment_Cases'!I606="In Progress - Configuration","3",IF('Self-Assessment_Cases'!I606="In Progress - Installation/Upgrade","3",IF('Self-Assessment_Cases'!I606="Not Implemented - Compensating Control","5",IF('Self-Assessment_Cases'!I606="Not Implemented - Risk Negligible","5",IF('Self-Assessment_Cases'!I606="Not Implemented - Risk Accepted","1",IF('Self-Assessment_Cases'!I606="Not Implemented - Planned","1",IF('Self-Assessment_Cases'!I606="Not Implemented - Unplanned","1",".")))))))))</f>
        <v>.</v>
      </c>
      <c r="G606" s="16"/>
      <c r="H606" s="14"/>
      <c r="I606" s="92"/>
      <c r="J606" s="14"/>
      <c r="K606" s="8"/>
    </row>
    <row r="607" spans="1:11" s="1" customFormat="1" ht="16" x14ac:dyDescent="0.2">
      <c r="A607" s="4"/>
      <c r="B607" s="9"/>
      <c r="C607" s="89"/>
      <c r="D607" s="89"/>
      <c r="E607" s="4"/>
      <c r="F607" s="8" t="str">
        <f>IF('Self-Assessment_Cases'!I607="Implemented","5",IF('Self-Assessment_Cases'!I607="In Progress - Administrative","3",IF('Self-Assessment_Cases'!I607="In Progress - Configuration","3",IF('Self-Assessment_Cases'!I607="In Progress - Installation/Upgrade","3",IF('Self-Assessment_Cases'!I607="Not Implemented - Compensating Control","5",IF('Self-Assessment_Cases'!I607="Not Implemented - Risk Negligible","5",IF('Self-Assessment_Cases'!I607="Not Implemented - Risk Accepted","1",IF('Self-Assessment_Cases'!I607="Not Implemented - Planned","1",IF('Self-Assessment_Cases'!I607="Not Implemented - Unplanned","1",".")))))))))</f>
        <v>.</v>
      </c>
      <c r="G607" s="16"/>
      <c r="H607" s="14"/>
      <c r="I607" s="92"/>
      <c r="J607" s="14"/>
      <c r="K607" s="8"/>
    </row>
    <row r="608" spans="1:11" s="1" customFormat="1" ht="16" x14ac:dyDescent="0.2">
      <c r="A608" s="4"/>
      <c r="B608" s="9"/>
      <c r="C608" s="89"/>
      <c r="D608" s="89"/>
      <c r="E608" s="4"/>
      <c r="F608" s="8" t="str">
        <f>IF('Self-Assessment_Cases'!I608="Implemented","5",IF('Self-Assessment_Cases'!I608="In Progress - Administrative","3",IF('Self-Assessment_Cases'!I608="In Progress - Configuration","3",IF('Self-Assessment_Cases'!I608="In Progress - Installation/Upgrade","3",IF('Self-Assessment_Cases'!I608="Not Implemented - Compensating Control","5",IF('Self-Assessment_Cases'!I608="Not Implemented - Risk Negligible","5",IF('Self-Assessment_Cases'!I608="Not Implemented - Risk Accepted","1",IF('Self-Assessment_Cases'!I608="Not Implemented - Planned","1",IF('Self-Assessment_Cases'!I608="Not Implemented - Unplanned","1",".")))))))))</f>
        <v>.</v>
      </c>
      <c r="G608" s="16"/>
      <c r="H608" s="14"/>
      <c r="I608" s="92"/>
      <c r="J608" s="14"/>
      <c r="K608" s="8"/>
    </row>
    <row r="609" spans="1:11" s="1" customFormat="1" ht="16" x14ac:dyDescent="0.2">
      <c r="A609" s="4"/>
      <c r="B609" s="9"/>
      <c r="C609" s="89"/>
      <c r="D609" s="89"/>
      <c r="E609" s="4"/>
      <c r="F609" s="8" t="str">
        <f>IF('Self-Assessment_Cases'!I609="Implemented","5",IF('Self-Assessment_Cases'!I609="In Progress - Administrative","3",IF('Self-Assessment_Cases'!I609="In Progress - Configuration","3",IF('Self-Assessment_Cases'!I609="In Progress - Installation/Upgrade","3",IF('Self-Assessment_Cases'!I609="Not Implemented - Compensating Control","5",IF('Self-Assessment_Cases'!I609="Not Implemented - Risk Negligible","5",IF('Self-Assessment_Cases'!I609="Not Implemented - Risk Accepted","1",IF('Self-Assessment_Cases'!I609="Not Implemented - Planned","1",IF('Self-Assessment_Cases'!I609="Not Implemented - Unplanned","1",".")))))))))</f>
        <v>.</v>
      </c>
      <c r="G609" s="16"/>
      <c r="H609" s="14"/>
      <c r="I609" s="92"/>
      <c r="J609" s="14"/>
      <c r="K609" s="8"/>
    </row>
    <row r="610" spans="1:11" s="1" customFormat="1" ht="16" x14ac:dyDescent="0.2">
      <c r="A610" s="4"/>
      <c r="B610" s="9"/>
      <c r="C610" s="89"/>
      <c r="D610" s="89"/>
      <c r="E610" s="4"/>
      <c r="F610" s="8" t="str">
        <f>IF('Self-Assessment_Cases'!I610="Implemented","5",IF('Self-Assessment_Cases'!I610="In Progress - Administrative","3",IF('Self-Assessment_Cases'!I610="In Progress - Configuration","3",IF('Self-Assessment_Cases'!I610="In Progress - Installation/Upgrade","3",IF('Self-Assessment_Cases'!I610="Not Implemented - Compensating Control","5",IF('Self-Assessment_Cases'!I610="Not Implemented - Risk Negligible","5",IF('Self-Assessment_Cases'!I610="Not Implemented - Risk Accepted","1",IF('Self-Assessment_Cases'!I610="Not Implemented - Planned","1",IF('Self-Assessment_Cases'!I610="Not Implemented - Unplanned","1",".")))))))))</f>
        <v>.</v>
      </c>
      <c r="G610" s="16"/>
      <c r="H610" s="14"/>
      <c r="I610" s="92"/>
      <c r="J610" s="14"/>
      <c r="K610" s="8"/>
    </row>
    <row r="611" spans="1:11" s="1" customFormat="1" ht="16" x14ac:dyDescent="0.2">
      <c r="A611" s="4"/>
      <c r="B611" s="9"/>
      <c r="C611" s="89"/>
      <c r="D611" s="89"/>
      <c r="E611" s="4"/>
      <c r="F611" s="8" t="str">
        <f>IF('Self-Assessment_Cases'!I611="Implemented","5",IF('Self-Assessment_Cases'!I611="In Progress - Administrative","3",IF('Self-Assessment_Cases'!I611="In Progress - Configuration","3",IF('Self-Assessment_Cases'!I611="In Progress - Installation/Upgrade","3",IF('Self-Assessment_Cases'!I611="Not Implemented - Compensating Control","5",IF('Self-Assessment_Cases'!I611="Not Implemented - Risk Negligible","5",IF('Self-Assessment_Cases'!I611="Not Implemented - Risk Accepted","1",IF('Self-Assessment_Cases'!I611="Not Implemented - Planned","1",IF('Self-Assessment_Cases'!I611="Not Implemented - Unplanned","1",".")))))))))</f>
        <v>.</v>
      </c>
      <c r="G611" s="16"/>
      <c r="H611" s="14"/>
      <c r="I611" s="92"/>
      <c r="J611" s="14"/>
      <c r="K611" s="8"/>
    </row>
    <row r="612" spans="1:11" s="1" customFormat="1" ht="16" x14ac:dyDescent="0.2">
      <c r="A612" s="4"/>
      <c r="B612" s="9"/>
      <c r="C612" s="89"/>
      <c r="D612" s="89"/>
      <c r="E612" s="4"/>
      <c r="F612" s="8" t="str">
        <f>IF('Self-Assessment_Cases'!I612="Implemented","5",IF('Self-Assessment_Cases'!I612="In Progress - Administrative","3",IF('Self-Assessment_Cases'!I612="In Progress - Configuration","3",IF('Self-Assessment_Cases'!I612="In Progress - Installation/Upgrade","3",IF('Self-Assessment_Cases'!I612="Not Implemented - Compensating Control","5",IF('Self-Assessment_Cases'!I612="Not Implemented - Risk Negligible","5",IF('Self-Assessment_Cases'!I612="Not Implemented - Risk Accepted","1",IF('Self-Assessment_Cases'!I612="Not Implemented - Planned","1",IF('Self-Assessment_Cases'!I612="Not Implemented - Unplanned","1",".")))))))))</f>
        <v>.</v>
      </c>
      <c r="G612" s="16"/>
      <c r="H612" s="14"/>
      <c r="I612" s="92"/>
      <c r="J612" s="14"/>
      <c r="K612" s="8"/>
    </row>
    <row r="613" spans="1:11" s="1" customFormat="1" ht="16" x14ac:dyDescent="0.2">
      <c r="A613" s="4"/>
      <c r="B613" s="9"/>
      <c r="C613" s="89"/>
      <c r="D613" s="89"/>
      <c r="E613" s="4"/>
      <c r="F613" s="8" t="str">
        <f>IF('Self-Assessment_Cases'!I613="Implemented","5",IF('Self-Assessment_Cases'!I613="In Progress - Administrative","3",IF('Self-Assessment_Cases'!I613="In Progress - Configuration","3",IF('Self-Assessment_Cases'!I613="In Progress - Installation/Upgrade","3",IF('Self-Assessment_Cases'!I613="Not Implemented - Compensating Control","5",IF('Self-Assessment_Cases'!I613="Not Implemented - Risk Negligible","5",IF('Self-Assessment_Cases'!I613="Not Implemented - Risk Accepted","1",IF('Self-Assessment_Cases'!I613="Not Implemented - Planned","1",IF('Self-Assessment_Cases'!I613="Not Implemented - Unplanned","1",".")))))))))</f>
        <v>.</v>
      </c>
      <c r="G613" s="16"/>
      <c r="H613" s="14"/>
      <c r="I613" s="92"/>
      <c r="J613" s="14"/>
      <c r="K613" s="8"/>
    </row>
    <row r="614" spans="1:11" s="1" customFormat="1" ht="16" x14ac:dyDescent="0.2">
      <c r="A614" s="4"/>
      <c r="B614" s="9"/>
      <c r="C614" s="89"/>
      <c r="D614" s="89"/>
      <c r="E614" s="4"/>
      <c r="F614" s="8" t="str">
        <f>IF('Self-Assessment_Cases'!I614="Implemented","5",IF('Self-Assessment_Cases'!I614="In Progress - Administrative","3",IF('Self-Assessment_Cases'!I614="In Progress - Configuration","3",IF('Self-Assessment_Cases'!I614="In Progress - Installation/Upgrade","3",IF('Self-Assessment_Cases'!I614="Not Implemented - Compensating Control","5",IF('Self-Assessment_Cases'!I614="Not Implemented - Risk Negligible","5",IF('Self-Assessment_Cases'!I614="Not Implemented - Risk Accepted","1",IF('Self-Assessment_Cases'!I614="Not Implemented - Planned","1",IF('Self-Assessment_Cases'!I614="Not Implemented - Unplanned","1",".")))))))))</f>
        <v>.</v>
      </c>
      <c r="G614" s="16"/>
      <c r="H614" s="14"/>
      <c r="I614" s="92"/>
      <c r="J614" s="14"/>
      <c r="K614" s="8"/>
    </row>
    <row r="615" spans="1:11" s="1" customFormat="1" ht="16" x14ac:dyDescent="0.2">
      <c r="A615" s="4"/>
      <c r="B615" s="9"/>
      <c r="C615" s="89"/>
      <c r="D615" s="89"/>
      <c r="E615" s="4"/>
      <c r="F615" s="8" t="str">
        <f>IF('Self-Assessment_Cases'!I615="Implemented","5",IF('Self-Assessment_Cases'!I615="In Progress - Administrative","3",IF('Self-Assessment_Cases'!I615="In Progress - Configuration","3",IF('Self-Assessment_Cases'!I615="In Progress - Installation/Upgrade","3",IF('Self-Assessment_Cases'!I615="Not Implemented - Compensating Control","5",IF('Self-Assessment_Cases'!I615="Not Implemented - Risk Negligible","5",IF('Self-Assessment_Cases'!I615="Not Implemented - Risk Accepted","1",IF('Self-Assessment_Cases'!I615="Not Implemented - Planned","1",IF('Self-Assessment_Cases'!I615="Not Implemented - Unplanned","1",".")))))))))</f>
        <v>.</v>
      </c>
      <c r="G615" s="16"/>
      <c r="H615" s="14"/>
      <c r="I615" s="92"/>
      <c r="J615" s="14"/>
      <c r="K615" s="8"/>
    </row>
    <row r="616" spans="1:11" s="1" customFormat="1" ht="16" x14ac:dyDescent="0.2">
      <c r="A616" s="4"/>
      <c r="B616" s="9"/>
      <c r="C616" s="89"/>
      <c r="D616" s="89"/>
      <c r="E616" s="4"/>
      <c r="F616" s="8" t="str">
        <f>IF('Self-Assessment_Cases'!I616="Implemented","5",IF('Self-Assessment_Cases'!I616="In Progress - Administrative","3",IF('Self-Assessment_Cases'!I616="In Progress - Configuration","3",IF('Self-Assessment_Cases'!I616="In Progress - Installation/Upgrade","3",IF('Self-Assessment_Cases'!I616="Not Implemented - Compensating Control","5",IF('Self-Assessment_Cases'!I616="Not Implemented - Risk Negligible","5",IF('Self-Assessment_Cases'!I616="Not Implemented - Risk Accepted","1",IF('Self-Assessment_Cases'!I616="Not Implemented - Planned","1",IF('Self-Assessment_Cases'!I616="Not Implemented - Unplanned","1",".")))))))))</f>
        <v>.</v>
      </c>
      <c r="G616" s="16"/>
      <c r="H616" s="14"/>
      <c r="I616" s="92"/>
      <c r="J616" s="14"/>
      <c r="K616" s="8"/>
    </row>
    <row r="617" spans="1:11" s="1" customFormat="1" ht="16" x14ac:dyDescent="0.2">
      <c r="A617" s="4"/>
      <c r="B617" s="9"/>
      <c r="C617" s="89"/>
      <c r="D617" s="89"/>
      <c r="E617" s="4"/>
      <c r="F617" s="8" t="str">
        <f>IF('Self-Assessment_Cases'!I617="Implemented","5",IF('Self-Assessment_Cases'!I617="In Progress - Administrative","3",IF('Self-Assessment_Cases'!I617="In Progress - Configuration","3",IF('Self-Assessment_Cases'!I617="In Progress - Installation/Upgrade","3",IF('Self-Assessment_Cases'!I617="Not Implemented - Compensating Control","5",IF('Self-Assessment_Cases'!I617="Not Implemented - Risk Negligible","5",IF('Self-Assessment_Cases'!I617="Not Implemented - Risk Accepted","1",IF('Self-Assessment_Cases'!I617="Not Implemented - Planned","1",IF('Self-Assessment_Cases'!I617="Not Implemented - Unplanned","1",".")))))))))</f>
        <v>.</v>
      </c>
      <c r="G617" s="16"/>
      <c r="H617" s="14"/>
      <c r="I617" s="92"/>
      <c r="J617" s="14"/>
      <c r="K617" s="8"/>
    </row>
    <row r="618" spans="1:11" s="1" customFormat="1" ht="16" x14ac:dyDescent="0.2">
      <c r="A618" s="4"/>
      <c r="B618" s="9"/>
      <c r="C618" s="89"/>
      <c r="D618" s="89"/>
      <c r="E618" s="4"/>
      <c r="F618" s="8" t="str">
        <f>IF('Self-Assessment_Cases'!I618="Implemented","5",IF('Self-Assessment_Cases'!I618="In Progress - Administrative","3",IF('Self-Assessment_Cases'!I618="In Progress - Configuration","3",IF('Self-Assessment_Cases'!I618="In Progress - Installation/Upgrade","3",IF('Self-Assessment_Cases'!I618="Not Implemented - Compensating Control","5",IF('Self-Assessment_Cases'!I618="Not Implemented - Risk Negligible","5",IF('Self-Assessment_Cases'!I618="Not Implemented - Risk Accepted","1",IF('Self-Assessment_Cases'!I618="Not Implemented - Planned","1",IF('Self-Assessment_Cases'!I618="Not Implemented - Unplanned","1",".")))))))))</f>
        <v>.</v>
      </c>
      <c r="G618" s="16"/>
      <c r="H618" s="14"/>
      <c r="I618" s="92"/>
      <c r="J618" s="14"/>
      <c r="K618" s="8"/>
    </row>
    <row r="619" spans="1:11" s="1" customFormat="1" ht="16" x14ac:dyDescent="0.2">
      <c r="A619" s="4"/>
      <c r="B619" s="9"/>
      <c r="C619" s="89"/>
      <c r="D619" s="89"/>
      <c r="E619" s="4"/>
      <c r="F619" s="8" t="str">
        <f>IF('Self-Assessment_Cases'!I619="Implemented","5",IF('Self-Assessment_Cases'!I619="In Progress - Administrative","3",IF('Self-Assessment_Cases'!I619="In Progress - Configuration","3",IF('Self-Assessment_Cases'!I619="In Progress - Installation/Upgrade","3",IF('Self-Assessment_Cases'!I619="Not Implemented - Compensating Control","5",IF('Self-Assessment_Cases'!I619="Not Implemented - Risk Negligible","5",IF('Self-Assessment_Cases'!I619="Not Implemented - Risk Accepted","1",IF('Self-Assessment_Cases'!I619="Not Implemented - Planned","1",IF('Self-Assessment_Cases'!I619="Not Implemented - Unplanned","1",".")))))))))</f>
        <v>.</v>
      </c>
      <c r="G619" s="16"/>
      <c r="H619" s="14"/>
      <c r="I619" s="92"/>
      <c r="J619" s="14"/>
      <c r="K619" s="8"/>
    </row>
    <row r="620" spans="1:11" s="1" customFormat="1" ht="16" x14ac:dyDescent="0.2">
      <c r="A620" s="4"/>
      <c r="B620" s="9"/>
      <c r="C620" s="89"/>
      <c r="D620" s="89"/>
      <c r="E620" s="4"/>
      <c r="F620" s="8" t="str">
        <f>IF('Self-Assessment_Cases'!I620="Implemented","5",IF('Self-Assessment_Cases'!I620="In Progress - Administrative","3",IF('Self-Assessment_Cases'!I620="In Progress - Configuration","3",IF('Self-Assessment_Cases'!I620="In Progress - Installation/Upgrade","3",IF('Self-Assessment_Cases'!I620="Not Implemented - Compensating Control","5",IF('Self-Assessment_Cases'!I620="Not Implemented - Risk Negligible","5",IF('Self-Assessment_Cases'!I620="Not Implemented - Risk Accepted","1",IF('Self-Assessment_Cases'!I620="Not Implemented - Planned","1",IF('Self-Assessment_Cases'!I620="Not Implemented - Unplanned","1",".")))))))))</f>
        <v>.</v>
      </c>
      <c r="G620" s="16"/>
      <c r="H620" s="14"/>
      <c r="I620" s="92"/>
      <c r="J620" s="14"/>
      <c r="K620" s="8"/>
    </row>
    <row r="621" spans="1:11" s="1" customFormat="1" ht="16" x14ac:dyDescent="0.2">
      <c r="A621" s="4"/>
      <c r="B621" s="9"/>
      <c r="C621" s="89"/>
      <c r="D621" s="89"/>
      <c r="E621" s="4"/>
      <c r="F621" s="8" t="str">
        <f>IF('Self-Assessment_Cases'!I621="Implemented","5",IF('Self-Assessment_Cases'!I621="In Progress - Administrative","3",IF('Self-Assessment_Cases'!I621="In Progress - Configuration","3",IF('Self-Assessment_Cases'!I621="In Progress - Installation/Upgrade","3",IF('Self-Assessment_Cases'!I621="Not Implemented - Compensating Control","5",IF('Self-Assessment_Cases'!I621="Not Implemented - Risk Negligible","5",IF('Self-Assessment_Cases'!I621="Not Implemented - Risk Accepted","1",IF('Self-Assessment_Cases'!I621="Not Implemented - Planned","1",IF('Self-Assessment_Cases'!I621="Not Implemented - Unplanned","1",".")))))))))</f>
        <v>.</v>
      </c>
      <c r="G621" s="16"/>
      <c r="H621" s="14"/>
      <c r="I621" s="92"/>
      <c r="J621" s="14"/>
      <c r="K621" s="8"/>
    </row>
    <row r="622" spans="1:11" s="1" customFormat="1" ht="16" x14ac:dyDescent="0.2">
      <c r="A622" s="4"/>
      <c r="B622" s="9"/>
      <c r="C622" s="89"/>
      <c r="D622" s="89"/>
      <c r="E622" s="4"/>
      <c r="F622" s="8" t="str">
        <f>IF('Self-Assessment_Cases'!I622="Implemented","5",IF('Self-Assessment_Cases'!I622="In Progress - Administrative","3",IF('Self-Assessment_Cases'!I622="In Progress - Configuration","3",IF('Self-Assessment_Cases'!I622="In Progress - Installation/Upgrade","3",IF('Self-Assessment_Cases'!I622="Not Implemented - Compensating Control","5",IF('Self-Assessment_Cases'!I622="Not Implemented - Risk Negligible","5",IF('Self-Assessment_Cases'!I622="Not Implemented - Risk Accepted","1",IF('Self-Assessment_Cases'!I622="Not Implemented - Planned","1",IF('Self-Assessment_Cases'!I622="Not Implemented - Unplanned","1",".")))))))))</f>
        <v>.</v>
      </c>
      <c r="G622" s="16"/>
      <c r="H622" s="14"/>
      <c r="I622" s="92"/>
      <c r="J622" s="14"/>
      <c r="K622" s="8"/>
    </row>
    <row r="623" spans="1:11" s="1" customFormat="1" ht="16" x14ac:dyDescent="0.2">
      <c r="A623" s="4"/>
      <c r="B623" s="9"/>
      <c r="C623" s="89"/>
      <c r="D623" s="89"/>
      <c r="E623" s="4"/>
      <c r="F623" s="8" t="str">
        <f>IF('Self-Assessment_Cases'!I623="Implemented","5",IF('Self-Assessment_Cases'!I623="In Progress - Administrative","3",IF('Self-Assessment_Cases'!I623="In Progress - Configuration","3",IF('Self-Assessment_Cases'!I623="In Progress - Installation/Upgrade","3",IF('Self-Assessment_Cases'!I623="Not Implemented - Compensating Control","5",IF('Self-Assessment_Cases'!I623="Not Implemented - Risk Negligible","5",IF('Self-Assessment_Cases'!I623="Not Implemented - Risk Accepted","1",IF('Self-Assessment_Cases'!I623="Not Implemented - Planned","1",IF('Self-Assessment_Cases'!I623="Not Implemented - Unplanned","1",".")))))))))</f>
        <v>.</v>
      </c>
      <c r="G623" s="16"/>
      <c r="H623" s="14"/>
      <c r="I623" s="92"/>
      <c r="J623" s="14"/>
      <c r="K623" s="8"/>
    </row>
    <row r="624" spans="1:11" s="1" customFormat="1" ht="16" x14ac:dyDescent="0.2">
      <c r="A624" s="4"/>
      <c r="B624" s="9"/>
      <c r="C624" s="89"/>
      <c r="D624" s="89"/>
      <c r="E624" s="4"/>
      <c r="F624" s="8" t="str">
        <f>IF('Self-Assessment_Cases'!I624="Implemented","5",IF('Self-Assessment_Cases'!I624="In Progress - Administrative","3",IF('Self-Assessment_Cases'!I624="In Progress - Configuration","3",IF('Self-Assessment_Cases'!I624="In Progress - Installation/Upgrade","3",IF('Self-Assessment_Cases'!I624="Not Implemented - Compensating Control","5",IF('Self-Assessment_Cases'!I624="Not Implemented - Risk Negligible","5",IF('Self-Assessment_Cases'!I624="Not Implemented - Risk Accepted","1",IF('Self-Assessment_Cases'!I624="Not Implemented - Planned","1",IF('Self-Assessment_Cases'!I624="Not Implemented - Unplanned","1",".")))))))))</f>
        <v>.</v>
      </c>
      <c r="G624" s="16"/>
      <c r="H624" s="14"/>
      <c r="I624" s="92"/>
      <c r="J624" s="14"/>
      <c r="K624" s="8"/>
    </row>
    <row r="625" spans="1:11" s="1" customFormat="1" ht="16" x14ac:dyDescent="0.2">
      <c r="A625" s="4"/>
      <c r="B625" s="9"/>
      <c r="C625" s="89"/>
      <c r="D625" s="89"/>
      <c r="E625" s="4"/>
      <c r="F625" s="8" t="str">
        <f>IF('Self-Assessment_Cases'!I625="Implemented","5",IF('Self-Assessment_Cases'!I625="In Progress - Administrative","3",IF('Self-Assessment_Cases'!I625="In Progress - Configuration","3",IF('Self-Assessment_Cases'!I625="In Progress - Installation/Upgrade","3",IF('Self-Assessment_Cases'!I625="Not Implemented - Compensating Control","5",IF('Self-Assessment_Cases'!I625="Not Implemented - Risk Negligible","5",IF('Self-Assessment_Cases'!I625="Not Implemented - Risk Accepted","1",IF('Self-Assessment_Cases'!I625="Not Implemented - Planned","1",IF('Self-Assessment_Cases'!I625="Not Implemented - Unplanned","1",".")))))))))</f>
        <v>.</v>
      </c>
      <c r="G625" s="16"/>
      <c r="H625" s="14"/>
      <c r="I625" s="92"/>
      <c r="J625" s="14"/>
      <c r="K625" s="8"/>
    </row>
    <row r="626" spans="1:11" s="1" customFormat="1" ht="16" x14ac:dyDescent="0.2">
      <c r="A626" s="4"/>
      <c r="B626" s="9"/>
      <c r="C626" s="89"/>
      <c r="D626" s="89"/>
      <c r="E626" s="4"/>
      <c r="F626" s="8" t="str">
        <f>IF('Self-Assessment_Cases'!I626="Implemented","5",IF('Self-Assessment_Cases'!I626="In Progress - Administrative","3",IF('Self-Assessment_Cases'!I626="In Progress - Configuration","3",IF('Self-Assessment_Cases'!I626="In Progress - Installation/Upgrade","3",IF('Self-Assessment_Cases'!I626="Not Implemented - Compensating Control","5",IF('Self-Assessment_Cases'!I626="Not Implemented - Risk Negligible","5",IF('Self-Assessment_Cases'!I626="Not Implemented - Risk Accepted","1",IF('Self-Assessment_Cases'!I626="Not Implemented - Planned","1",IF('Self-Assessment_Cases'!I626="Not Implemented - Unplanned","1",".")))))))))</f>
        <v>.</v>
      </c>
      <c r="G626" s="16"/>
      <c r="H626" s="14"/>
      <c r="I626" s="92"/>
      <c r="J626" s="14"/>
      <c r="K626" s="8"/>
    </row>
    <row r="627" spans="1:11" s="1" customFormat="1" ht="16" x14ac:dyDescent="0.2">
      <c r="A627" s="4"/>
      <c r="B627" s="9"/>
      <c r="C627" s="89"/>
      <c r="D627" s="89"/>
      <c r="E627" s="4"/>
      <c r="F627" s="8" t="str">
        <f>IF('Self-Assessment_Cases'!I627="Implemented","5",IF('Self-Assessment_Cases'!I627="In Progress - Administrative","3",IF('Self-Assessment_Cases'!I627="In Progress - Configuration","3",IF('Self-Assessment_Cases'!I627="In Progress - Installation/Upgrade","3",IF('Self-Assessment_Cases'!I627="Not Implemented - Compensating Control","5",IF('Self-Assessment_Cases'!I627="Not Implemented - Risk Negligible","5",IF('Self-Assessment_Cases'!I627="Not Implemented - Risk Accepted","1",IF('Self-Assessment_Cases'!I627="Not Implemented - Planned","1",IF('Self-Assessment_Cases'!I627="Not Implemented - Unplanned","1",".")))))))))</f>
        <v>.</v>
      </c>
      <c r="G627" s="16"/>
      <c r="H627" s="14"/>
      <c r="I627" s="92"/>
      <c r="J627" s="14"/>
      <c r="K627" s="8"/>
    </row>
    <row r="628" spans="1:11" s="1" customFormat="1" ht="16" x14ac:dyDescent="0.2">
      <c r="A628" s="4"/>
      <c r="B628" s="9"/>
      <c r="C628" s="89"/>
      <c r="D628" s="89"/>
      <c r="E628" s="4"/>
      <c r="F628" s="8" t="str">
        <f>IF('Self-Assessment_Cases'!I628="Implemented","5",IF('Self-Assessment_Cases'!I628="In Progress - Administrative","3",IF('Self-Assessment_Cases'!I628="In Progress - Configuration","3",IF('Self-Assessment_Cases'!I628="In Progress - Installation/Upgrade","3",IF('Self-Assessment_Cases'!I628="Not Implemented - Compensating Control","5",IF('Self-Assessment_Cases'!I628="Not Implemented - Risk Negligible","5",IF('Self-Assessment_Cases'!I628="Not Implemented - Risk Accepted","1",IF('Self-Assessment_Cases'!I628="Not Implemented - Planned","1",IF('Self-Assessment_Cases'!I628="Not Implemented - Unplanned","1",".")))))))))</f>
        <v>.</v>
      </c>
      <c r="G628" s="16"/>
      <c r="H628" s="14"/>
      <c r="I628" s="92"/>
      <c r="J628" s="14"/>
      <c r="K628" s="8"/>
    </row>
    <row r="629" spans="1:11" s="1" customFormat="1" ht="16" x14ac:dyDescent="0.2">
      <c r="A629" s="4"/>
      <c r="B629" s="9"/>
      <c r="C629" s="89"/>
      <c r="D629" s="89"/>
      <c r="E629" s="4"/>
      <c r="F629" s="8" t="str">
        <f>IF('Self-Assessment_Cases'!I629="Implemented","5",IF('Self-Assessment_Cases'!I629="In Progress - Administrative","3",IF('Self-Assessment_Cases'!I629="In Progress - Configuration","3",IF('Self-Assessment_Cases'!I629="In Progress - Installation/Upgrade","3",IF('Self-Assessment_Cases'!I629="Not Implemented - Compensating Control","5",IF('Self-Assessment_Cases'!I629="Not Implemented - Risk Negligible","5",IF('Self-Assessment_Cases'!I629="Not Implemented - Risk Accepted","1",IF('Self-Assessment_Cases'!I629="Not Implemented - Planned","1",IF('Self-Assessment_Cases'!I629="Not Implemented - Unplanned","1",".")))))))))</f>
        <v>.</v>
      </c>
      <c r="G629" s="16"/>
      <c r="H629" s="14"/>
      <c r="I629" s="92"/>
      <c r="J629" s="14"/>
      <c r="K629" s="8"/>
    </row>
    <row r="630" spans="1:11" s="1" customFormat="1" ht="16" x14ac:dyDescent="0.2">
      <c r="A630" s="4"/>
      <c r="B630" s="9"/>
      <c r="C630" s="89"/>
      <c r="D630" s="89"/>
      <c r="E630" s="4"/>
      <c r="F630" s="8" t="str">
        <f>IF('Self-Assessment_Cases'!I630="Implemented","5",IF('Self-Assessment_Cases'!I630="In Progress - Administrative","3",IF('Self-Assessment_Cases'!I630="In Progress - Configuration","3",IF('Self-Assessment_Cases'!I630="In Progress - Installation/Upgrade","3",IF('Self-Assessment_Cases'!I630="Not Implemented - Compensating Control","5",IF('Self-Assessment_Cases'!I630="Not Implemented - Risk Negligible","5",IF('Self-Assessment_Cases'!I630="Not Implemented - Risk Accepted","1",IF('Self-Assessment_Cases'!I630="Not Implemented - Planned","1",IF('Self-Assessment_Cases'!I630="Not Implemented - Unplanned","1",".")))))))))</f>
        <v>.</v>
      </c>
      <c r="G630" s="16"/>
      <c r="H630" s="14"/>
      <c r="I630" s="92"/>
      <c r="J630" s="14"/>
      <c r="K630" s="8"/>
    </row>
    <row r="631" spans="1:11" s="1" customFormat="1" ht="16" x14ac:dyDescent="0.2">
      <c r="A631" s="4"/>
      <c r="B631" s="9"/>
      <c r="C631" s="89"/>
      <c r="D631" s="89"/>
      <c r="E631" s="4"/>
      <c r="F631" s="8" t="str">
        <f>IF('Self-Assessment_Cases'!I631="Implemented","5",IF('Self-Assessment_Cases'!I631="In Progress - Administrative","3",IF('Self-Assessment_Cases'!I631="In Progress - Configuration","3",IF('Self-Assessment_Cases'!I631="In Progress - Installation/Upgrade","3",IF('Self-Assessment_Cases'!I631="Not Implemented - Compensating Control","5",IF('Self-Assessment_Cases'!I631="Not Implemented - Risk Negligible","5",IF('Self-Assessment_Cases'!I631="Not Implemented - Risk Accepted","1",IF('Self-Assessment_Cases'!I631="Not Implemented - Planned","1",IF('Self-Assessment_Cases'!I631="Not Implemented - Unplanned","1",".")))))))))</f>
        <v>.</v>
      </c>
      <c r="G631" s="16"/>
      <c r="H631" s="14"/>
      <c r="I631" s="92"/>
      <c r="J631" s="14"/>
      <c r="K631" s="8"/>
    </row>
    <row r="632" spans="1:11" s="1" customFormat="1" ht="16" x14ac:dyDescent="0.2">
      <c r="A632" s="4"/>
      <c r="B632" s="9"/>
      <c r="C632" s="89"/>
      <c r="D632" s="89"/>
      <c r="E632" s="4"/>
      <c r="F632" s="8" t="str">
        <f>IF('Self-Assessment_Cases'!I632="Implemented","5",IF('Self-Assessment_Cases'!I632="In Progress - Administrative","3",IF('Self-Assessment_Cases'!I632="In Progress - Configuration","3",IF('Self-Assessment_Cases'!I632="In Progress - Installation/Upgrade","3",IF('Self-Assessment_Cases'!I632="Not Implemented - Compensating Control","5",IF('Self-Assessment_Cases'!I632="Not Implemented - Risk Negligible","5",IF('Self-Assessment_Cases'!I632="Not Implemented - Risk Accepted","1",IF('Self-Assessment_Cases'!I632="Not Implemented - Planned","1",IF('Self-Assessment_Cases'!I632="Not Implemented - Unplanned","1",".")))))))))</f>
        <v>.</v>
      </c>
      <c r="G632" s="16"/>
      <c r="H632" s="14"/>
      <c r="I632" s="92"/>
      <c r="J632" s="14"/>
      <c r="K632" s="8"/>
    </row>
    <row r="633" spans="1:11" s="1" customFormat="1" ht="16" x14ac:dyDescent="0.2">
      <c r="A633" s="4"/>
      <c r="B633" s="9"/>
      <c r="C633" s="89"/>
      <c r="D633" s="89"/>
      <c r="E633" s="4"/>
      <c r="F633" s="8" t="str">
        <f>IF('Self-Assessment_Cases'!I633="Implemented","5",IF('Self-Assessment_Cases'!I633="In Progress - Administrative","3",IF('Self-Assessment_Cases'!I633="In Progress - Configuration","3",IF('Self-Assessment_Cases'!I633="In Progress - Installation/Upgrade","3",IF('Self-Assessment_Cases'!I633="Not Implemented - Compensating Control","5",IF('Self-Assessment_Cases'!I633="Not Implemented - Risk Negligible","5",IF('Self-Assessment_Cases'!I633="Not Implemented - Risk Accepted","1",IF('Self-Assessment_Cases'!I633="Not Implemented - Planned","1",IF('Self-Assessment_Cases'!I633="Not Implemented - Unplanned","1",".")))))))))</f>
        <v>.</v>
      </c>
      <c r="G633" s="16"/>
      <c r="H633" s="14"/>
      <c r="I633" s="92"/>
      <c r="J633" s="14"/>
      <c r="K633" s="8"/>
    </row>
    <row r="634" spans="1:11" s="1" customFormat="1" ht="16" x14ac:dyDescent="0.2">
      <c r="A634" s="4"/>
      <c r="B634" s="9"/>
      <c r="C634" s="89"/>
      <c r="D634" s="89"/>
      <c r="E634" s="4"/>
      <c r="F634" s="8" t="str">
        <f>IF('Self-Assessment_Cases'!I634="Implemented","5",IF('Self-Assessment_Cases'!I634="In Progress - Administrative","3",IF('Self-Assessment_Cases'!I634="In Progress - Configuration","3",IF('Self-Assessment_Cases'!I634="In Progress - Installation/Upgrade","3",IF('Self-Assessment_Cases'!I634="Not Implemented - Compensating Control","5",IF('Self-Assessment_Cases'!I634="Not Implemented - Risk Negligible","5",IF('Self-Assessment_Cases'!I634="Not Implemented - Risk Accepted","1",IF('Self-Assessment_Cases'!I634="Not Implemented - Planned","1",IF('Self-Assessment_Cases'!I634="Not Implemented - Unplanned","1",".")))))))))</f>
        <v>.</v>
      </c>
      <c r="G634" s="16"/>
      <c r="H634" s="14"/>
      <c r="I634" s="92"/>
      <c r="J634" s="14"/>
      <c r="K634" s="8"/>
    </row>
    <row r="635" spans="1:11" s="1" customFormat="1" ht="16" x14ac:dyDescent="0.2">
      <c r="A635" s="4"/>
      <c r="B635" s="9"/>
      <c r="C635" s="89"/>
      <c r="D635" s="89"/>
      <c r="E635" s="4"/>
      <c r="F635" s="8" t="str">
        <f>IF('Self-Assessment_Cases'!I635="Implemented","5",IF('Self-Assessment_Cases'!I635="In Progress - Administrative","3",IF('Self-Assessment_Cases'!I635="In Progress - Configuration","3",IF('Self-Assessment_Cases'!I635="In Progress - Installation/Upgrade","3",IF('Self-Assessment_Cases'!I635="Not Implemented - Compensating Control","5",IF('Self-Assessment_Cases'!I635="Not Implemented - Risk Negligible","5",IF('Self-Assessment_Cases'!I635="Not Implemented - Risk Accepted","1",IF('Self-Assessment_Cases'!I635="Not Implemented - Planned","1",IF('Self-Assessment_Cases'!I635="Not Implemented - Unplanned","1",".")))))))))</f>
        <v>.</v>
      </c>
      <c r="G635" s="16"/>
      <c r="H635" s="14"/>
      <c r="I635" s="92"/>
      <c r="J635" s="14"/>
      <c r="K635" s="8"/>
    </row>
    <row r="636" spans="1:11" s="1" customFormat="1" ht="16" x14ac:dyDescent="0.2">
      <c r="A636" s="4"/>
      <c r="B636" s="9"/>
      <c r="C636" s="89"/>
      <c r="D636" s="89"/>
      <c r="E636" s="4"/>
      <c r="F636" s="8" t="str">
        <f>IF('Self-Assessment_Cases'!I636="Implemented","5",IF('Self-Assessment_Cases'!I636="In Progress - Administrative","3",IF('Self-Assessment_Cases'!I636="In Progress - Configuration","3",IF('Self-Assessment_Cases'!I636="In Progress - Installation/Upgrade","3",IF('Self-Assessment_Cases'!I636="Not Implemented - Compensating Control","5",IF('Self-Assessment_Cases'!I636="Not Implemented - Risk Negligible","5",IF('Self-Assessment_Cases'!I636="Not Implemented - Risk Accepted","1",IF('Self-Assessment_Cases'!I636="Not Implemented - Planned","1",IF('Self-Assessment_Cases'!I636="Not Implemented - Unplanned","1",".")))))))))</f>
        <v>.</v>
      </c>
      <c r="G636" s="16"/>
      <c r="H636" s="14"/>
      <c r="I636" s="92"/>
      <c r="J636" s="14"/>
      <c r="K636" s="8"/>
    </row>
    <row r="637" spans="1:11" s="1" customFormat="1" ht="16" x14ac:dyDescent="0.2">
      <c r="A637" s="4"/>
      <c r="B637" s="9"/>
      <c r="C637" s="89"/>
      <c r="D637" s="89"/>
      <c r="E637" s="4"/>
      <c r="F637" s="8" t="str">
        <f>IF('Self-Assessment_Cases'!I637="Implemented","5",IF('Self-Assessment_Cases'!I637="In Progress - Administrative","3",IF('Self-Assessment_Cases'!I637="In Progress - Configuration","3",IF('Self-Assessment_Cases'!I637="In Progress - Installation/Upgrade","3",IF('Self-Assessment_Cases'!I637="Not Implemented - Compensating Control","5",IF('Self-Assessment_Cases'!I637="Not Implemented - Risk Negligible","5",IF('Self-Assessment_Cases'!I637="Not Implemented - Risk Accepted","1",IF('Self-Assessment_Cases'!I637="Not Implemented - Planned","1",IF('Self-Assessment_Cases'!I637="Not Implemented - Unplanned","1",".")))))))))</f>
        <v>.</v>
      </c>
      <c r="G637" s="16"/>
      <c r="H637" s="14"/>
      <c r="I637" s="92"/>
      <c r="J637" s="14"/>
      <c r="K637" s="8"/>
    </row>
    <row r="638" spans="1:11" s="1" customFormat="1" ht="16" x14ac:dyDescent="0.2">
      <c r="A638" s="4"/>
      <c r="B638" s="9"/>
      <c r="C638" s="89"/>
      <c r="D638" s="89"/>
      <c r="E638" s="4"/>
      <c r="F638" s="8" t="str">
        <f>IF('Self-Assessment_Cases'!I638="Implemented","5",IF('Self-Assessment_Cases'!I638="In Progress - Administrative","3",IF('Self-Assessment_Cases'!I638="In Progress - Configuration","3",IF('Self-Assessment_Cases'!I638="In Progress - Installation/Upgrade","3",IF('Self-Assessment_Cases'!I638="Not Implemented - Compensating Control","5",IF('Self-Assessment_Cases'!I638="Not Implemented - Risk Negligible","5",IF('Self-Assessment_Cases'!I638="Not Implemented - Risk Accepted","1",IF('Self-Assessment_Cases'!I638="Not Implemented - Planned","1",IF('Self-Assessment_Cases'!I638="Not Implemented - Unplanned","1",".")))))))))</f>
        <v>.</v>
      </c>
      <c r="G638" s="16"/>
      <c r="H638" s="14"/>
      <c r="I638" s="92"/>
      <c r="J638" s="14"/>
      <c r="K638" s="8"/>
    </row>
    <row r="639" spans="1:11" s="1" customFormat="1" ht="16" x14ac:dyDescent="0.2">
      <c r="A639" s="4"/>
      <c r="B639" s="9"/>
      <c r="C639" s="89"/>
      <c r="D639" s="89"/>
      <c r="E639" s="4"/>
      <c r="F639" s="8" t="str">
        <f>IF('Self-Assessment_Cases'!I639="Implemented","5",IF('Self-Assessment_Cases'!I639="In Progress - Administrative","3",IF('Self-Assessment_Cases'!I639="In Progress - Configuration","3",IF('Self-Assessment_Cases'!I639="In Progress - Installation/Upgrade","3",IF('Self-Assessment_Cases'!I639="Not Implemented - Compensating Control","5",IF('Self-Assessment_Cases'!I639="Not Implemented - Risk Negligible","5",IF('Self-Assessment_Cases'!I639="Not Implemented - Risk Accepted","1",IF('Self-Assessment_Cases'!I639="Not Implemented - Planned","1",IF('Self-Assessment_Cases'!I639="Not Implemented - Unplanned","1",".")))))))))</f>
        <v>.</v>
      </c>
      <c r="G639" s="16"/>
      <c r="H639" s="14"/>
      <c r="I639" s="92"/>
      <c r="J639" s="14"/>
      <c r="K639" s="8"/>
    </row>
    <row r="640" spans="1:11" s="1" customFormat="1" ht="16" x14ac:dyDescent="0.2">
      <c r="A640" s="4"/>
      <c r="B640" s="9"/>
      <c r="C640" s="89"/>
      <c r="D640" s="89"/>
      <c r="E640" s="4"/>
      <c r="F640" s="8" t="str">
        <f>IF('Self-Assessment_Cases'!I640="Implemented","5",IF('Self-Assessment_Cases'!I640="In Progress - Administrative","3",IF('Self-Assessment_Cases'!I640="In Progress - Configuration","3",IF('Self-Assessment_Cases'!I640="In Progress - Installation/Upgrade","3",IF('Self-Assessment_Cases'!I640="Not Implemented - Compensating Control","5",IF('Self-Assessment_Cases'!I640="Not Implemented - Risk Negligible","5",IF('Self-Assessment_Cases'!I640="Not Implemented - Risk Accepted","1",IF('Self-Assessment_Cases'!I640="Not Implemented - Planned","1",IF('Self-Assessment_Cases'!I640="Not Implemented - Unplanned","1",".")))))))))</f>
        <v>.</v>
      </c>
      <c r="G640" s="16"/>
      <c r="H640" s="14"/>
      <c r="I640" s="92"/>
      <c r="J640" s="14"/>
      <c r="K640" s="8"/>
    </row>
    <row r="641" spans="1:11" s="1" customFormat="1" ht="16" x14ac:dyDescent="0.2">
      <c r="A641" s="4"/>
      <c r="B641" s="9"/>
      <c r="C641" s="89"/>
      <c r="D641" s="89"/>
      <c r="E641" s="4"/>
      <c r="F641" s="8" t="str">
        <f>IF('Self-Assessment_Cases'!I641="Implemented","5",IF('Self-Assessment_Cases'!I641="In Progress - Administrative","3",IF('Self-Assessment_Cases'!I641="In Progress - Configuration","3",IF('Self-Assessment_Cases'!I641="In Progress - Installation/Upgrade","3",IF('Self-Assessment_Cases'!I641="Not Implemented - Compensating Control","5",IF('Self-Assessment_Cases'!I641="Not Implemented - Risk Negligible","5",IF('Self-Assessment_Cases'!I641="Not Implemented - Risk Accepted","1",IF('Self-Assessment_Cases'!I641="Not Implemented - Planned","1",IF('Self-Assessment_Cases'!I641="Not Implemented - Unplanned","1",".")))))))))</f>
        <v>.</v>
      </c>
      <c r="G641" s="16"/>
      <c r="H641" s="14"/>
      <c r="I641" s="92"/>
      <c r="J641" s="14"/>
      <c r="K641" s="8"/>
    </row>
    <row r="642" spans="1:11" s="1" customFormat="1" ht="16" x14ac:dyDescent="0.2">
      <c r="A642" s="4"/>
      <c r="B642" s="9"/>
      <c r="C642" s="89"/>
      <c r="D642" s="89"/>
      <c r="E642" s="4"/>
      <c r="F642" s="8" t="str">
        <f>IF('Self-Assessment_Cases'!I642="Implemented","5",IF('Self-Assessment_Cases'!I642="In Progress - Administrative","3",IF('Self-Assessment_Cases'!I642="In Progress - Configuration","3",IF('Self-Assessment_Cases'!I642="In Progress - Installation/Upgrade","3",IF('Self-Assessment_Cases'!I642="Not Implemented - Compensating Control","5",IF('Self-Assessment_Cases'!I642="Not Implemented - Risk Negligible","5",IF('Self-Assessment_Cases'!I642="Not Implemented - Risk Accepted","1",IF('Self-Assessment_Cases'!I642="Not Implemented - Planned","1",IF('Self-Assessment_Cases'!I642="Not Implemented - Unplanned","1",".")))))))))</f>
        <v>.</v>
      </c>
      <c r="G642" s="16"/>
      <c r="H642" s="14"/>
      <c r="I642" s="92"/>
      <c r="J642" s="14"/>
      <c r="K642" s="8"/>
    </row>
    <row r="643" spans="1:11" s="1" customFormat="1" ht="16" x14ac:dyDescent="0.2">
      <c r="A643" s="4"/>
      <c r="B643" s="9"/>
      <c r="C643" s="89"/>
      <c r="D643" s="89"/>
      <c r="E643" s="4"/>
      <c r="F643" s="8" t="str">
        <f>IF('Self-Assessment_Cases'!I643="Implemented","5",IF('Self-Assessment_Cases'!I643="In Progress - Administrative","3",IF('Self-Assessment_Cases'!I643="In Progress - Configuration","3",IF('Self-Assessment_Cases'!I643="In Progress - Installation/Upgrade","3",IF('Self-Assessment_Cases'!I643="Not Implemented - Compensating Control","5",IF('Self-Assessment_Cases'!I643="Not Implemented - Risk Negligible","5",IF('Self-Assessment_Cases'!I643="Not Implemented - Risk Accepted","1",IF('Self-Assessment_Cases'!I643="Not Implemented - Planned","1",IF('Self-Assessment_Cases'!I643="Not Implemented - Unplanned","1",".")))))))))</f>
        <v>.</v>
      </c>
      <c r="G643" s="16"/>
      <c r="H643" s="14"/>
      <c r="I643" s="92"/>
      <c r="J643" s="14"/>
      <c r="K643" s="8"/>
    </row>
    <row r="644" spans="1:11" s="1" customFormat="1" ht="16" x14ac:dyDescent="0.2">
      <c r="A644" s="4"/>
      <c r="B644" s="9"/>
      <c r="C644" s="89"/>
      <c r="D644" s="89"/>
      <c r="E644" s="4"/>
      <c r="F644" s="8" t="str">
        <f>IF('Self-Assessment_Cases'!I644="Implemented","5",IF('Self-Assessment_Cases'!I644="In Progress - Administrative","3",IF('Self-Assessment_Cases'!I644="In Progress - Configuration","3",IF('Self-Assessment_Cases'!I644="In Progress - Installation/Upgrade","3",IF('Self-Assessment_Cases'!I644="Not Implemented - Compensating Control","5",IF('Self-Assessment_Cases'!I644="Not Implemented - Risk Negligible","5",IF('Self-Assessment_Cases'!I644="Not Implemented - Risk Accepted","1",IF('Self-Assessment_Cases'!I644="Not Implemented - Planned","1",IF('Self-Assessment_Cases'!I644="Not Implemented - Unplanned","1",".")))))))))</f>
        <v>.</v>
      </c>
      <c r="G644" s="16"/>
      <c r="H644" s="14"/>
      <c r="I644" s="92"/>
      <c r="J644" s="14"/>
      <c r="K644" s="8"/>
    </row>
    <row r="645" spans="1:11" s="1" customFormat="1" ht="16" x14ac:dyDescent="0.2">
      <c r="A645" s="4"/>
      <c r="B645" s="9"/>
      <c r="C645" s="89"/>
      <c r="D645" s="89"/>
      <c r="E645" s="4"/>
      <c r="F645" s="8" t="str">
        <f>IF('Self-Assessment_Cases'!I645="Implemented","5",IF('Self-Assessment_Cases'!I645="In Progress - Administrative","3",IF('Self-Assessment_Cases'!I645="In Progress - Configuration","3",IF('Self-Assessment_Cases'!I645="In Progress - Installation/Upgrade","3",IF('Self-Assessment_Cases'!I645="Not Implemented - Compensating Control","5",IF('Self-Assessment_Cases'!I645="Not Implemented - Risk Negligible","5",IF('Self-Assessment_Cases'!I645="Not Implemented - Risk Accepted","1",IF('Self-Assessment_Cases'!I645="Not Implemented - Planned","1",IF('Self-Assessment_Cases'!I645="Not Implemented - Unplanned","1",".")))))))))</f>
        <v>.</v>
      </c>
      <c r="G645" s="16"/>
      <c r="H645" s="14"/>
      <c r="I645" s="92"/>
      <c r="J645" s="14"/>
      <c r="K645" s="8"/>
    </row>
    <row r="646" spans="1:11" s="1" customFormat="1" ht="16" x14ac:dyDescent="0.2">
      <c r="A646" s="4"/>
      <c r="B646" s="9"/>
      <c r="C646" s="89"/>
      <c r="D646" s="89"/>
      <c r="E646" s="4"/>
      <c r="F646" s="8" t="str">
        <f>IF('Self-Assessment_Cases'!I646="Implemented","5",IF('Self-Assessment_Cases'!I646="In Progress - Administrative","3",IF('Self-Assessment_Cases'!I646="In Progress - Configuration","3",IF('Self-Assessment_Cases'!I646="In Progress - Installation/Upgrade","3",IF('Self-Assessment_Cases'!I646="Not Implemented - Compensating Control","5",IF('Self-Assessment_Cases'!I646="Not Implemented - Risk Negligible","5",IF('Self-Assessment_Cases'!I646="Not Implemented - Risk Accepted","1",IF('Self-Assessment_Cases'!I646="Not Implemented - Planned","1",IF('Self-Assessment_Cases'!I646="Not Implemented - Unplanned","1",".")))))))))</f>
        <v>.</v>
      </c>
      <c r="G646" s="16"/>
      <c r="H646" s="14"/>
      <c r="I646" s="92"/>
      <c r="J646" s="14"/>
      <c r="K646" s="8"/>
    </row>
    <row r="647" spans="1:11" s="1" customFormat="1" ht="16" x14ac:dyDescent="0.2">
      <c r="A647" s="4"/>
      <c r="B647" s="9"/>
      <c r="C647" s="89"/>
      <c r="D647" s="89"/>
      <c r="E647" s="4"/>
      <c r="F647" s="8" t="str">
        <f>IF('Self-Assessment_Cases'!I647="Implemented","5",IF('Self-Assessment_Cases'!I647="In Progress - Administrative","3",IF('Self-Assessment_Cases'!I647="In Progress - Configuration","3",IF('Self-Assessment_Cases'!I647="In Progress - Installation/Upgrade","3",IF('Self-Assessment_Cases'!I647="Not Implemented - Compensating Control","5",IF('Self-Assessment_Cases'!I647="Not Implemented - Risk Negligible","5",IF('Self-Assessment_Cases'!I647="Not Implemented - Risk Accepted","1",IF('Self-Assessment_Cases'!I647="Not Implemented - Planned","1",IF('Self-Assessment_Cases'!I647="Not Implemented - Unplanned","1",".")))))))))</f>
        <v>.</v>
      </c>
      <c r="G647" s="16"/>
      <c r="H647" s="14"/>
      <c r="I647" s="92"/>
      <c r="J647" s="14"/>
      <c r="K647" s="8"/>
    </row>
    <row r="648" spans="1:11" s="1" customFormat="1" ht="16" x14ac:dyDescent="0.2">
      <c r="A648" s="4"/>
      <c r="B648" s="9"/>
      <c r="C648" s="89"/>
      <c r="D648" s="89"/>
      <c r="E648" s="4"/>
      <c r="F648" s="8" t="str">
        <f>IF('Self-Assessment_Cases'!I648="Implemented","5",IF('Self-Assessment_Cases'!I648="In Progress - Administrative","3",IF('Self-Assessment_Cases'!I648="In Progress - Configuration","3",IF('Self-Assessment_Cases'!I648="In Progress - Installation/Upgrade","3",IF('Self-Assessment_Cases'!I648="Not Implemented - Compensating Control","5",IF('Self-Assessment_Cases'!I648="Not Implemented - Risk Negligible","5",IF('Self-Assessment_Cases'!I648="Not Implemented - Risk Accepted","1",IF('Self-Assessment_Cases'!I648="Not Implemented - Planned","1",IF('Self-Assessment_Cases'!I648="Not Implemented - Unplanned","1",".")))))))))</f>
        <v>.</v>
      </c>
      <c r="G648" s="16"/>
      <c r="H648" s="14"/>
      <c r="I648" s="92"/>
      <c r="J648" s="14"/>
      <c r="K648" s="8"/>
    </row>
    <row r="649" spans="1:11" s="1" customFormat="1" ht="16" x14ac:dyDescent="0.2">
      <c r="A649" s="4"/>
      <c r="B649" s="9"/>
      <c r="C649" s="89"/>
      <c r="D649" s="89"/>
      <c r="E649" s="4"/>
      <c r="F649" s="8" t="str">
        <f>IF('Self-Assessment_Cases'!I649="Implemented","5",IF('Self-Assessment_Cases'!I649="In Progress - Administrative","3",IF('Self-Assessment_Cases'!I649="In Progress - Configuration","3",IF('Self-Assessment_Cases'!I649="In Progress - Installation/Upgrade","3",IF('Self-Assessment_Cases'!I649="Not Implemented - Compensating Control","5",IF('Self-Assessment_Cases'!I649="Not Implemented - Risk Negligible","5",IF('Self-Assessment_Cases'!I649="Not Implemented - Risk Accepted","1",IF('Self-Assessment_Cases'!I649="Not Implemented - Planned","1",IF('Self-Assessment_Cases'!I649="Not Implemented - Unplanned","1",".")))))))))</f>
        <v>.</v>
      </c>
      <c r="G649" s="16"/>
      <c r="H649" s="14"/>
      <c r="I649" s="92"/>
      <c r="J649" s="14"/>
      <c r="K649" s="8"/>
    </row>
    <row r="650" spans="1:11" s="1" customFormat="1" ht="16" x14ac:dyDescent="0.2">
      <c r="A650" s="4"/>
      <c r="B650" s="9"/>
      <c r="C650" s="89"/>
      <c r="D650" s="89"/>
      <c r="E650" s="4"/>
      <c r="F650" s="8" t="str">
        <f>IF('Self-Assessment_Cases'!I650="Implemented","5",IF('Self-Assessment_Cases'!I650="In Progress - Administrative","3",IF('Self-Assessment_Cases'!I650="In Progress - Configuration","3",IF('Self-Assessment_Cases'!I650="In Progress - Installation/Upgrade","3",IF('Self-Assessment_Cases'!I650="Not Implemented - Compensating Control","5",IF('Self-Assessment_Cases'!I650="Not Implemented - Risk Negligible","5",IF('Self-Assessment_Cases'!I650="Not Implemented - Risk Accepted","1",IF('Self-Assessment_Cases'!I650="Not Implemented - Planned","1",IF('Self-Assessment_Cases'!I650="Not Implemented - Unplanned","1",".")))))))))</f>
        <v>.</v>
      </c>
      <c r="G650" s="16"/>
      <c r="H650" s="14"/>
      <c r="I650" s="92"/>
      <c r="J650" s="14"/>
      <c r="K650" s="8"/>
    </row>
    <row r="651" spans="1:11" s="1" customFormat="1" ht="16" x14ac:dyDescent="0.2">
      <c r="A651" s="4"/>
      <c r="B651" s="9"/>
      <c r="C651" s="89"/>
      <c r="D651" s="89"/>
      <c r="E651" s="4"/>
      <c r="F651" s="8" t="str">
        <f>IF('Self-Assessment_Cases'!I651="Implemented","5",IF('Self-Assessment_Cases'!I651="In Progress - Administrative","3",IF('Self-Assessment_Cases'!I651="In Progress - Configuration","3",IF('Self-Assessment_Cases'!I651="In Progress - Installation/Upgrade","3",IF('Self-Assessment_Cases'!I651="Not Implemented - Compensating Control","5",IF('Self-Assessment_Cases'!I651="Not Implemented - Risk Negligible","5",IF('Self-Assessment_Cases'!I651="Not Implemented - Risk Accepted","1",IF('Self-Assessment_Cases'!I651="Not Implemented - Planned","1",IF('Self-Assessment_Cases'!I651="Not Implemented - Unplanned","1",".")))))))))</f>
        <v>.</v>
      </c>
      <c r="G651" s="16"/>
      <c r="H651" s="14"/>
      <c r="I651" s="92"/>
      <c r="J651" s="14"/>
      <c r="K651" s="8"/>
    </row>
    <row r="652" spans="1:11" s="1" customFormat="1" ht="16" x14ac:dyDescent="0.2">
      <c r="A652" s="4"/>
      <c r="B652" s="9"/>
      <c r="C652" s="89"/>
      <c r="D652" s="89"/>
      <c r="E652" s="4"/>
      <c r="F652" s="8" t="str">
        <f>IF('Self-Assessment_Cases'!I652="Implemented","5",IF('Self-Assessment_Cases'!I652="In Progress - Administrative","3",IF('Self-Assessment_Cases'!I652="In Progress - Configuration","3",IF('Self-Assessment_Cases'!I652="In Progress - Installation/Upgrade","3",IF('Self-Assessment_Cases'!I652="Not Implemented - Compensating Control","5",IF('Self-Assessment_Cases'!I652="Not Implemented - Risk Negligible","5",IF('Self-Assessment_Cases'!I652="Not Implemented - Risk Accepted","1",IF('Self-Assessment_Cases'!I652="Not Implemented - Planned","1",IF('Self-Assessment_Cases'!I652="Not Implemented - Unplanned","1",".")))))))))</f>
        <v>.</v>
      </c>
      <c r="G652" s="16"/>
      <c r="H652" s="14"/>
      <c r="I652" s="92"/>
      <c r="J652" s="14"/>
      <c r="K652" s="8"/>
    </row>
    <row r="653" spans="1:11" s="1" customFormat="1" ht="16" x14ac:dyDescent="0.2">
      <c r="A653" s="4"/>
      <c r="B653" s="9"/>
      <c r="C653" s="89"/>
      <c r="D653" s="89"/>
      <c r="E653" s="4"/>
      <c r="F653" s="8" t="str">
        <f>IF('Self-Assessment_Cases'!I653="Implemented","5",IF('Self-Assessment_Cases'!I653="In Progress - Administrative","3",IF('Self-Assessment_Cases'!I653="In Progress - Configuration","3",IF('Self-Assessment_Cases'!I653="In Progress - Installation/Upgrade","3",IF('Self-Assessment_Cases'!I653="Not Implemented - Compensating Control","5",IF('Self-Assessment_Cases'!I653="Not Implemented - Risk Negligible","5",IF('Self-Assessment_Cases'!I653="Not Implemented - Risk Accepted","1",IF('Self-Assessment_Cases'!I653="Not Implemented - Planned","1",IF('Self-Assessment_Cases'!I653="Not Implemented - Unplanned","1",".")))))))))</f>
        <v>.</v>
      </c>
      <c r="G653" s="16"/>
      <c r="H653" s="14"/>
      <c r="I653" s="92"/>
      <c r="J653" s="14"/>
      <c r="K653" s="8"/>
    </row>
    <row r="654" spans="1:11" ht="16" x14ac:dyDescent="0.2">
      <c r="A654" s="100"/>
      <c r="B654" s="101"/>
      <c r="C654" s="115"/>
      <c r="D654" s="115"/>
      <c r="E654" s="118"/>
      <c r="F654" s="102"/>
      <c r="G654" s="100"/>
      <c r="H654" s="102"/>
      <c r="I654" s="103"/>
      <c r="J654" s="104"/>
      <c r="K654" s="105"/>
    </row>
    <row r="655" spans="1:11" ht="16" x14ac:dyDescent="0.2">
      <c r="A655" s="100"/>
      <c r="B655" s="101"/>
      <c r="C655" s="115"/>
      <c r="D655" s="115"/>
      <c r="E655" s="118"/>
      <c r="F655" s="102"/>
      <c r="G655" s="100"/>
      <c r="H655" s="102"/>
      <c r="I655" s="103"/>
      <c r="J655" s="104"/>
      <c r="K655" s="105"/>
    </row>
    <row r="656" spans="1:11" ht="16" x14ac:dyDescent="0.2">
      <c r="A656" s="100"/>
      <c r="B656" s="101"/>
      <c r="C656" s="115"/>
      <c r="D656" s="115"/>
      <c r="E656" s="118"/>
      <c r="F656" s="102"/>
      <c r="G656" s="100"/>
      <c r="H656" s="102"/>
      <c r="I656" s="103"/>
      <c r="J656" s="104"/>
      <c r="K656" s="105"/>
    </row>
    <row r="657" spans="1:11" ht="16" x14ac:dyDescent="0.2">
      <c r="A657" s="100"/>
      <c r="B657" s="101"/>
      <c r="C657" s="115"/>
      <c r="D657" s="115"/>
      <c r="E657" s="118"/>
      <c r="F657" s="102"/>
      <c r="G657" s="100"/>
      <c r="H657" s="102"/>
      <c r="I657" s="103"/>
      <c r="J657" s="104"/>
      <c r="K657" s="105"/>
    </row>
    <row r="658" spans="1:11" ht="16" x14ac:dyDescent="0.2">
      <c r="A658" s="100"/>
      <c r="B658" s="101"/>
      <c r="C658" s="115"/>
      <c r="D658" s="115"/>
      <c r="E658" s="118"/>
      <c r="F658" s="102"/>
      <c r="G658" s="100"/>
      <c r="H658" s="102"/>
      <c r="I658" s="103"/>
      <c r="J658" s="104"/>
      <c r="K658" s="105"/>
    </row>
    <row r="659" spans="1:11" ht="16" x14ac:dyDescent="0.2">
      <c r="A659" s="100"/>
      <c r="B659" s="101"/>
      <c r="C659" s="115"/>
      <c r="D659" s="115"/>
      <c r="E659" s="118"/>
      <c r="F659" s="102"/>
      <c r="G659" s="100"/>
      <c r="H659" s="102"/>
      <c r="I659" s="103"/>
      <c r="J659" s="104"/>
      <c r="K659" s="105"/>
    </row>
    <row r="660" spans="1:11" ht="16" x14ac:dyDescent="0.2">
      <c r="A660" s="100"/>
      <c r="B660" s="101"/>
      <c r="C660" s="115"/>
      <c r="D660" s="115"/>
      <c r="E660" s="118"/>
      <c r="F660" s="102"/>
      <c r="G660" s="100"/>
      <c r="H660" s="102"/>
      <c r="I660" s="103"/>
      <c r="J660" s="104"/>
      <c r="K660" s="105"/>
    </row>
    <row r="661" spans="1:11" ht="16" x14ac:dyDescent="0.2">
      <c r="A661" s="100"/>
      <c r="B661" s="101"/>
      <c r="C661" s="115"/>
      <c r="D661" s="115"/>
      <c r="E661" s="118"/>
      <c r="F661" s="102"/>
      <c r="G661" s="100"/>
      <c r="H661" s="102"/>
      <c r="I661" s="103"/>
      <c r="J661" s="104"/>
      <c r="K661" s="105"/>
    </row>
  </sheetData>
  <sheetProtection sort="0" autoFilter="0"/>
  <protectedRanges>
    <protectedRange password="F657" sqref="I4:K653" name="Summit_member_results"/>
  </protectedRanges>
  <autoFilter ref="A3:K653"/>
  <sortState ref="A2:S510">
    <sortCondition ref="D2:D510"/>
  </sortState>
  <mergeCells count="2">
    <mergeCell ref="A1:G1"/>
    <mergeCell ref="A2:G2"/>
  </mergeCells>
  <dataValidations count="2">
    <dataValidation type="list" allowBlank="1" showInputMessage="1" showErrorMessage="1" sqref="F657:F1048576 K534:K653 G534:G1048576">
      <formula1>"1,3,5,"</formula1>
    </dataValidation>
    <dataValidation type="list" allowBlank="1" showInputMessage="1" showErrorMessage="1" sqref="J44 I4:I661">
      <formula1>status2</formula1>
    </dataValidation>
  </dataValidations>
  <pageMargins left="0.25" right="0.25" top="0.75" bottom="0.75" header="0.3" footer="0.3"/>
  <pageSetup scale="36" fitToHeight="45" orientation="landscape" verticalDpi="4294967295" r:id="rId1"/>
  <headerFooter>
    <oddFooter>&amp;C&amp;10&amp;P</oddFooter>
  </headerFooter>
  <ignoredErrors>
    <ignoredError sqref="B6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C13"/>
  <sheetViews>
    <sheetView showGridLines="0" workbookViewId="0">
      <selection activeCell="C8" sqref="C8"/>
    </sheetView>
  </sheetViews>
  <sheetFormatPr baseColWidth="10" defaultColWidth="8.83203125" defaultRowHeight="15" x14ac:dyDescent="0.2"/>
  <cols>
    <col min="1" max="1" width="46.33203125" style="21" customWidth="1"/>
    <col min="2" max="2" width="55.5" style="20" customWidth="1"/>
    <col min="3" max="3" width="32" customWidth="1"/>
  </cols>
  <sheetData>
    <row r="1" spans="1:3" ht="21" x14ac:dyDescent="0.2">
      <c r="A1" s="139" t="str">
        <f>IF(NOT(COUNTA('Self-Assessment_Cases'!#REF!)),"Official Use Only","Sensitive But Unclassified")</f>
        <v>Sensitive But Unclassified</v>
      </c>
      <c r="B1" s="140"/>
      <c r="C1" s="141"/>
    </row>
    <row r="2" spans="1:3" ht="24" customHeight="1" thickBot="1" x14ac:dyDescent="0.25">
      <c r="A2" s="142" t="s">
        <v>744</v>
      </c>
      <c r="B2" s="143"/>
      <c r="C2" s="144"/>
    </row>
    <row r="3" spans="1:3" ht="16" x14ac:dyDescent="0.2">
      <c r="A3" s="39" t="s">
        <v>660</v>
      </c>
      <c r="B3" s="40" t="s">
        <v>664</v>
      </c>
      <c r="C3" s="41" t="s">
        <v>674</v>
      </c>
    </row>
    <row r="4" spans="1:3" ht="19" x14ac:dyDescent="0.2">
      <c r="A4" s="21" t="s">
        <v>661</v>
      </c>
      <c r="B4" s="20" t="s">
        <v>665</v>
      </c>
      <c r="C4" s="22">
        <v>5</v>
      </c>
    </row>
    <row r="5" spans="1:3" ht="45" x14ac:dyDescent="0.2">
      <c r="A5" s="21" t="s">
        <v>668</v>
      </c>
      <c r="B5" s="20" t="s">
        <v>669</v>
      </c>
      <c r="C5" s="22">
        <v>3</v>
      </c>
    </row>
    <row r="6" spans="1:3" ht="60" x14ac:dyDescent="0.2">
      <c r="A6" s="21" t="s">
        <v>670</v>
      </c>
      <c r="B6" s="20" t="s">
        <v>671</v>
      </c>
      <c r="C6" s="22">
        <v>3</v>
      </c>
    </row>
    <row r="7" spans="1:3" ht="45" x14ac:dyDescent="0.2">
      <c r="A7" s="36" t="s">
        <v>672</v>
      </c>
      <c r="B7" s="20" t="s">
        <v>673</v>
      </c>
      <c r="C7" s="22">
        <v>3</v>
      </c>
    </row>
    <row r="8" spans="1:3" ht="45" x14ac:dyDescent="0.2">
      <c r="A8" s="21" t="s">
        <v>663</v>
      </c>
      <c r="B8" s="20" t="s">
        <v>667</v>
      </c>
      <c r="C8" s="22">
        <v>5</v>
      </c>
    </row>
    <row r="9" spans="1:3" ht="45" x14ac:dyDescent="0.2">
      <c r="A9" s="21" t="s">
        <v>686</v>
      </c>
      <c r="B9" s="20" t="s">
        <v>687</v>
      </c>
      <c r="C9" s="22">
        <v>5</v>
      </c>
    </row>
    <row r="10" spans="1:3" ht="30" x14ac:dyDescent="0.2">
      <c r="A10" s="21" t="s">
        <v>662</v>
      </c>
      <c r="B10" s="20" t="s">
        <v>666</v>
      </c>
      <c r="C10" s="22">
        <v>1</v>
      </c>
    </row>
    <row r="11" spans="1:3" ht="45" x14ac:dyDescent="0.2">
      <c r="A11" s="21" t="s">
        <v>675</v>
      </c>
      <c r="B11" s="20" t="s">
        <v>676</v>
      </c>
      <c r="C11" s="22">
        <v>1</v>
      </c>
    </row>
    <row r="12" spans="1:3" ht="60" x14ac:dyDescent="0.2">
      <c r="A12" s="21" t="s">
        <v>677</v>
      </c>
      <c r="B12" s="20" t="s">
        <v>678</v>
      </c>
      <c r="C12" s="22">
        <v>1</v>
      </c>
    </row>
    <row r="13" spans="1:3" ht="105" x14ac:dyDescent="0.2">
      <c r="A13" s="21" t="s">
        <v>688</v>
      </c>
      <c r="B13" s="20" t="s">
        <v>690</v>
      </c>
      <c r="C13" s="22" t="s">
        <v>689</v>
      </c>
    </row>
  </sheetData>
  <sheetProtection selectLockedCells="1" selectUnlockedCells="1"/>
  <mergeCells count="2">
    <mergeCell ref="A1:C1"/>
    <mergeCell ref="A2:C2"/>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
  <sheetViews>
    <sheetView showGridLines="0" workbookViewId="0">
      <selection activeCell="K5" sqref="K5"/>
    </sheetView>
  </sheetViews>
  <sheetFormatPr baseColWidth="10" defaultColWidth="8.83203125" defaultRowHeight="15" x14ac:dyDescent="0.2"/>
  <sheetData>
    <row r="1" spans="1:13" ht="21" x14ac:dyDescent="0.25">
      <c r="A1" s="125" t="str">
        <f>IF(NOT(COUNTA('Self-Assessment_Cases'!#REF!)),"Official Use Only","Sensitive But Unclassified")</f>
        <v>Sensitive But Unclassified</v>
      </c>
      <c r="B1" s="126"/>
      <c r="C1" s="126"/>
      <c r="D1" s="126"/>
      <c r="E1" s="126"/>
      <c r="F1" s="126"/>
      <c r="G1" s="126"/>
      <c r="H1" s="126"/>
      <c r="I1" s="126"/>
      <c r="J1" s="126"/>
      <c r="K1" s="126"/>
      <c r="L1" s="126"/>
      <c r="M1" s="127"/>
    </row>
    <row r="2" spans="1:13" ht="36.75" customHeight="1" thickBot="1" x14ac:dyDescent="0.25">
      <c r="A2" s="128" t="s">
        <v>744</v>
      </c>
      <c r="B2" s="129"/>
      <c r="C2" s="129"/>
      <c r="D2" s="129"/>
      <c r="E2" s="129"/>
      <c r="F2" s="129"/>
      <c r="G2" s="129"/>
      <c r="H2" s="129"/>
      <c r="I2" s="129"/>
      <c r="J2" s="129"/>
      <c r="K2" s="129"/>
      <c r="L2" s="129"/>
      <c r="M2" s="130"/>
    </row>
    <row r="3" spans="1:13" x14ac:dyDescent="0.2">
      <c r="A3" s="26"/>
      <c r="B3" s="35"/>
      <c r="C3" s="35"/>
      <c r="D3" s="35"/>
      <c r="E3" s="35"/>
      <c r="F3" s="35"/>
      <c r="G3" s="35"/>
      <c r="H3" s="35"/>
      <c r="I3" s="35"/>
      <c r="J3" s="35"/>
      <c r="K3" s="35"/>
      <c r="L3" s="35"/>
      <c r="M3" s="27"/>
    </row>
    <row r="4" spans="1:13" x14ac:dyDescent="0.2">
      <c r="A4" s="28"/>
      <c r="B4" s="31"/>
      <c r="C4" s="31"/>
      <c r="D4" s="31"/>
      <c r="E4" s="31"/>
      <c r="F4" s="31"/>
      <c r="G4" s="31"/>
      <c r="H4" s="31"/>
      <c r="I4" s="31"/>
      <c r="J4" s="31"/>
      <c r="K4" s="31"/>
      <c r="L4" s="31"/>
      <c r="M4" s="29"/>
    </row>
    <row r="5" spans="1:13" x14ac:dyDescent="0.2">
      <c r="A5" s="28"/>
      <c r="B5" s="31"/>
      <c r="C5" s="31"/>
      <c r="D5" s="31"/>
      <c r="E5" s="31"/>
      <c r="F5" s="31"/>
      <c r="G5" s="31"/>
      <c r="H5" s="31"/>
      <c r="I5" s="31"/>
      <c r="J5" s="31"/>
      <c r="K5" s="31"/>
      <c r="L5" s="31"/>
      <c r="M5" s="29"/>
    </row>
    <row r="6" spans="1:13" x14ac:dyDescent="0.2">
      <c r="A6" s="28"/>
      <c r="B6" s="31"/>
      <c r="C6" s="37" t="s">
        <v>747</v>
      </c>
      <c r="E6" s="31"/>
      <c r="F6" s="31"/>
      <c r="G6" s="31"/>
      <c r="H6" s="31"/>
      <c r="I6" s="31"/>
      <c r="J6" s="31"/>
      <c r="K6" s="31"/>
      <c r="L6" s="31"/>
      <c r="M6" s="29"/>
    </row>
    <row r="7" spans="1:13" x14ac:dyDescent="0.2">
      <c r="A7" s="28"/>
      <c r="B7" s="31"/>
      <c r="C7" s="31"/>
      <c r="D7" s="31"/>
      <c r="E7" s="31"/>
      <c r="F7" s="31"/>
      <c r="G7" s="31"/>
      <c r="H7" s="31"/>
      <c r="I7" s="31"/>
      <c r="J7" s="31"/>
      <c r="K7" s="31"/>
      <c r="L7" s="31"/>
      <c r="M7" s="29"/>
    </row>
    <row r="8" spans="1:13" x14ac:dyDescent="0.2">
      <c r="A8" s="28"/>
      <c r="B8" s="31"/>
      <c r="C8" s="31"/>
      <c r="D8" s="31"/>
      <c r="E8" s="31"/>
      <c r="F8" s="31"/>
      <c r="G8" s="31"/>
      <c r="H8" s="31"/>
      <c r="I8" s="31"/>
      <c r="J8" s="31"/>
      <c r="K8" s="31"/>
      <c r="L8" s="31"/>
      <c r="M8" s="29"/>
    </row>
    <row r="9" spans="1:13" x14ac:dyDescent="0.2">
      <c r="A9" s="28"/>
      <c r="B9" s="38"/>
      <c r="C9" s="38"/>
      <c r="D9" s="38"/>
      <c r="E9" s="38"/>
      <c r="F9" s="38"/>
      <c r="G9" s="38"/>
      <c r="H9" s="38"/>
      <c r="I9" s="38"/>
      <c r="J9" s="38"/>
      <c r="K9" s="38"/>
      <c r="L9" s="38"/>
      <c r="M9" s="29"/>
    </row>
    <row r="10" spans="1:13" x14ac:dyDescent="0.2">
      <c r="A10" s="28"/>
      <c r="E10" s="31"/>
      <c r="F10" s="31"/>
      <c r="G10" s="31"/>
      <c r="H10" s="31"/>
      <c r="J10" s="30"/>
      <c r="K10" s="31"/>
      <c r="L10" s="31"/>
      <c r="M10" s="29"/>
    </row>
    <row r="11" spans="1:13" x14ac:dyDescent="0.2">
      <c r="A11" s="28"/>
      <c r="B11" s="31"/>
      <c r="C11" s="37" t="s">
        <v>746</v>
      </c>
      <c r="D11" s="31"/>
      <c r="E11" s="31"/>
      <c r="F11" s="31"/>
      <c r="G11" s="31"/>
      <c r="H11" s="31"/>
      <c r="I11" s="30" t="s">
        <v>745</v>
      </c>
      <c r="J11" s="31"/>
      <c r="K11" s="31"/>
      <c r="L11" s="31"/>
      <c r="M11" s="29"/>
    </row>
    <row r="12" spans="1:13" x14ac:dyDescent="0.2">
      <c r="A12" s="28"/>
      <c r="C12" s="31"/>
      <c r="D12" s="31"/>
      <c r="E12" s="31"/>
      <c r="F12" s="31"/>
      <c r="G12" s="31"/>
      <c r="H12" s="31"/>
      <c r="I12" s="31"/>
      <c r="J12" s="31"/>
      <c r="K12" s="31"/>
      <c r="L12" s="31"/>
      <c r="M12" s="29"/>
    </row>
    <row r="13" spans="1:13" x14ac:dyDescent="0.2">
      <c r="A13" s="28"/>
      <c r="B13" s="31"/>
      <c r="C13" s="31"/>
      <c r="D13" s="31"/>
      <c r="E13" s="31"/>
      <c r="F13" s="31"/>
      <c r="G13" s="31"/>
      <c r="H13" s="31"/>
      <c r="I13" s="31"/>
      <c r="J13" s="31"/>
      <c r="K13" s="31"/>
      <c r="L13" s="31"/>
      <c r="M13" s="29"/>
    </row>
    <row r="14" spans="1:13" x14ac:dyDescent="0.2">
      <c r="A14" s="28"/>
      <c r="B14" s="31"/>
      <c r="C14" s="31"/>
      <c r="D14" s="31"/>
      <c r="E14" s="31"/>
      <c r="F14" s="31"/>
      <c r="G14" s="31"/>
      <c r="H14" s="31"/>
      <c r="I14" s="31"/>
      <c r="J14" s="31"/>
      <c r="K14" s="31"/>
      <c r="L14" s="31"/>
      <c r="M14" s="29"/>
    </row>
    <row r="15" spans="1:13" x14ac:dyDescent="0.2">
      <c r="A15" s="28"/>
      <c r="B15" s="31"/>
      <c r="C15" s="31"/>
      <c r="D15" s="31"/>
      <c r="E15" s="31"/>
      <c r="F15" s="31"/>
      <c r="G15" s="31"/>
      <c r="H15" s="31"/>
      <c r="I15" s="31"/>
      <c r="J15" s="31"/>
      <c r="K15" s="31"/>
      <c r="L15" s="31"/>
      <c r="M15" s="29"/>
    </row>
    <row r="16" spans="1:13" x14ac:dyDescent="0.2">
      <c r="A16" s="28"/>
      <c r="B16" s="31"/>
      <c r="C16" s="31"/>
      <c r="D16" s="31"/>
      <c r="E16" s="31"/>
      <c r="F16" s="31"/>
      <c r="G16" s="31"/>
      <c r="H16" s="31"/>
      <c r="I16" s="31"/>
      <c r="J16" s="31"/>
      <c r="K16" s="31"/>
      <c r="L16" s="31"/>
      <c r="M16" s="29"/>
    </row>
    <row r="17" spans="1:13" ht="16" thickBot="1" x14ac:dyDescent="0.25">
      <c r="A17" s="32"/>
      <c r="B17" s="33"/>
      <c r="C17" s="33"/>
      <c r="D17" s="33"/>
      <c r="E17" s="33"/>
      <c r="F17" s="33"/>
      <c r="G17" s="33"/>
      <c r="H17" s="33"/>
      <c r="I17" s="33"/>
      <c r="J17" s="33"/>
      <c r="K17" s="33"/>
      <c r="L17" s="33"/>
      <c r="M17" s="34"/>
    </row>
  </sheetData>
  <mergeCells count="2">
    <mergeCell ref="A1:M1"/>
    <mergeCell ref="A2:M2"/>
  </mergeCells>
  <hyperlinks>
    <hyperlink ref="I10:J10" r:id="rId1" display="NIST Special Publication 800-53 Revision 4"/>
  </hyperlinks>
  <pageMargins left="0.7" right="0.7" top="0.75" bottom="0.75" header="0.3" footer="0.3"/>
  <pageSetup orientation="portrait" r:id="rId2"/>
  <drawing r:id="rId3"/>
  <legacyDrawing r:id="rId4"/>
  <oleObjects>
    <mc:AlternateContent xmlns:mc="http://schemas.openxmlformats.org/markup-compatibility/2006">
      <mc:Choice Requires="x14">
        <oleObject progId="Acrobat Document" dvAspect="DVASPECT_ICON" shapeId="9217" r:id="rId5">
          <objectPr defaultSize="0" r:id="rId6">
            <anchor moveWithCells="1">
              <from>
                <xdr:col>9</xdr:col>
                <xdr:colOff>50800</xdr:colOff>
                <xdr:row>3</xdr:row>
                <xdr:rowOff>38100</xdr:rowOff>
              </from>
              <to>
                <xdr:col>10</xdr:col>
                <xdr:colOff>355600</xdr:colOff>
                <xdr:row>6</xdr:row>
                <xdr:rowOff>152400</xdr:rowOff>
              </to>
            </anchor>
          </objectPr>
        </oleObject>
      </mc:Choice>
      <mc:Fallback>
        <oleObject progId="Acrobat Document" dvAspect="DVASPECT_ICON" shapeId="9217" r:id="rId5"/>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workbookViewId="0">
      <pane ySplit="1" topLeftCell="A90" activePane="bottomLeft" state="frozen"/>
      <selection pane="bottomLeft" activeCell="T105" sqref="T105"/>
    </sheetView>
  </sheetViews>
  <sheetFormatPr baseColWidth="10" defaultColWidth="8.83203125" defaultRowHeight="15" x14ac:dyDescent="0.2"/>
  <cols>
    <col min="1" max="1" width="19.1640625" customWidth="1"/>
    <col min="2" max="2" width="13.1640625" bestFit="1" customWidth="1"/>
    <col min="3" max="3" width="9.33203125" bestFit="1" customWidth="1"/>
    <col min="6" max="6" width="14.6640625" hidden="1" customWidth="1"/>
    <col min="7" max="7" width="0" hidden="1" customWidth="1"/>
    <col min="8" max="8" width="11.6640625" customWidth="1"/>
    <col min="10" max="10" width="17.83203125" customWidth="1"/>
    <col min="12" max="12" width="15.5" hidden="1" customWidth="1"/>
    <col min="13" max="13" width="0" hidden="1" customWidth="1"/>
    <col min="14" max="14" width="13.83203125" hidden="1" customWidth="1"/>
    <col min="15" max="15" width="0" hidden="1" customWidth="1"/>
    <col min="16" max="16" width="12.6640625" hidden="1" customWidth="1"/>
    <col min="17" max="17" width="0" hidden="1" customWidth="1"/>
    <col min="18" max="18" width="13.33203125" hidden="1" customWidth="1"/>
    <col min="19" max="19" width="0" hidden="1" customWidth="1"/>
    <col min="20" max="20" width="12" customWidth="1"/>
  </cols>
  <sheetData>
    <row r="1" spans="1:23" ht="49" thickBot="1" x14ac:dyDescent="0.25">
      <c r="A1" s="42" t="s">
        <v>748</v>
      </c>
      <c r="B1" s="51" t="s">
        <v>661</v>
      </c>
      <c r="C1" s="43" t="s">
        <v>674</v>
      </c>
      <c r="D1" s="53" t="s">
        <v>668</v>
      </c>
      <c r="E1" s="43" t="s">
        <v>674</v>
      </c>
      <c r="F1" s="52" t="s">
        <v>670</v>
      </c>
      <c r="G1" s="43" t="s">
        <v>674</v>
      </c>
      <c r="H1" s="52" t="s">
        <v>672</v>
      </c>
      <c r="I1" s="43" t="s">
        <v>674</v>
      </c>
      <c r="J1" s="52" t="s">
        <v>663</v>
      </c>
      <c r="K1" s="43" t="s">
        <v>674</v>
      </c>
      <c r="L1" s="52" t="s">
        <v>686</v>
      </c>
      <c r="M1" s="52" t="s">
        <v>674</v>
      </c>
      <c r="N1" s="55" t="s">
        <v>662</v>
      </c>
      <c r="O1" s="54" t="s">
        <v>674</v>
      </c>
      <c r="P1" s="55" t="s">
        <v>675</v>
      </c>
      <c r="Q1" s="54" t="s">
        <v>674</v>
      </c>
      <c r="R1" s="55" t="s">
        <v>677</v>
      </c>
      <c r="S1" s="54" t="s">
        <v>674</v>
      </c>
      <c r="T1" s="55" t="s">
        <v>688</v>
      </c>
      <c r="U1" s="54"/>
      <c r="V1" s="69" t="s">
        <v>752</v>
      </c>
      <c r="W1" s="44"/>
    </row>
    <row r="2" spans="1:23" x14ac:dyDescent="0.2">
      <c r="A2" s="45" t="s">
        <v>0</v>
      </c>
      <c r="B2" s="46">
        <f>COUNTIFS('Self-Assessment_Cases'!$E$4:$E$657,"AC-1",'Self-Assessment_Cases'!$I4:$I657,"Implemented")</f>
        <v>0</v>
      </c>
      <c r="C2" s="63">
        <f>B2*5</f>
        <v>0</v>
      </c>
      <c r="D2" s="47">
        <f>COUNTIFS('Self-Assessment_Cases'!$E$4:$E$657,"AC-1",'Self-Assessment_Cases'!$I4:$I657,"In Progress - Administrative")</f>
        <v>0</v>
      </c>
      <c r="E2" s="64">
        <f>D2*3</f>
        <v>0</v>
      </c>
      <c r="F2" s="62">
        <f>COUNTIFS('Self-Assessment_Cases'!$E$4:$E$657,"AC-1",'Self-Assessment_Cases'!$I4:$I657,"In Progress - Configuration")</f>
        <v>0</v>
      </c>
      <c r="G2" s="65">
        <f>F2*3</f>
        <v>0</v>
      </c>
      <c r="H2" s="48">
        <f>COUNTIFS('Self-Assessment_Cases'!$E$4:$E$657,"AC-1",'Self-Assessment_Cases'!$I4:$I657,"In Progress - Installation/Upgrade")</f>
        <v>0</v>
      </c>
      <c r="I2" s="66">
        <f>H2*3</f>
        <v>0</v>
      </c>
      <c r="J2" s="49">
        <f>COUNTIFS('Self-Assessment_Cases'!$E$4:$E$657,"AC-1",'Self-Assessment_Cases'!$I4:$I657,"Not Implemented - Compensating Control")</f>
        <v>0</v>
      </c>
      <c r="K2" s="67">
        <f>J2*5</f>
        <v>0</v>
      </c>
      <c r="L2" s="50">
        <f>COUNTIFS('Self-Assessment_Cases'!$E$4:$E$657,"AC-1",'Self-Assessment_Cases'!$I4:$I657,"Not Implemented - Risk Negligible")</f>
        <v>0</v>
      </c>
      <c r="M2" s="56">
        <f>L2*5</f>
        <v>0</v>
      </c>
      <c r="N2" s="57">
        <f>COUNTIFS('Self-Assessment_Cases'!$E$4:$E$657,"AC-1",'Self-Assessment_Cases'!$I4:$I657,"Not Implemented - Risk Accepted")</f>
        <v>0</v>
      </c>
      <c r="O2" s="57">
        <f>N2</f>
        <v>0</v>
      </c>
      <c r="P2" s="58">
        <f>COUNTIFS('Self-Assessment_Cases'!$E$4:$E$657,"AC-1",'Self-Assessment_Cases'!$I4:$I657,"Not Implemented - Planned")</f>
        <v>0</v>
      </c>
      <c r="Q2" s="58">
        <f>P2</f>
        <v>0</v>
      </c>
      <c r="R2" s="59">
        <f>COUNTIFS('Self-Assessment_Cases'!$E$4:$E$657,"AC-1",'Self-Assessment_Cases'!$I4:$I657,"Not Implemented - Unplanned")</f>
        <v>0</v>
      </c>
      <c r="S2" s="59">
        <f>R2</f>
        <v>0</v>
      </c>
      <c r="T2" s="60">
        <f>COUNTIFS('Self-Assessment_Cases'!$E$4:$E$657,"AC-1",'Self-Assessment_Cases'!$I4:$I657,"Not Applicable")</f>
        <v>0</v>
      </c>
      <c r="U2" s="61"/>
      <c r="V2" s="68" t="e">
        <f>(C2+E2+G2+I2+K2+M2+O2+Q2+S2)/W2</f>
        <v>#DIV/0!</v>
      </c>
      <c r="W2" s="44">
        <f>(B2+D2+F2+H2+J2+L2+N2+P2+R2)*5</f>
        <v>0</v>
      </c>
    </row>
    <row r="3" spans="1:23" ht="15" customHeight="1" x14ac:dyDescent="0.2">
      <c r="A3" s="45" t="s">
        <v>220</v>
      </c>
      <c r="B3" s="46">
        <f>COUNTIFS('Self-Assessment_Cases'!$E$4:$E$657,"AC-16",'Self-Assessment_Cases'!$I4:$I657,"Implemented")</f>
        <v>0</v>
      </c>
      <c r="C3" s="63">
        <f t="shared" ref="C3:C67" si="0">B3*5</f>
        <v>0</v>
      </c>
      <c r="D3" s="47">
        <f>COUNTIFS('Self-Assessment_Cases'!$E$4:$E$657,"AC-16",'Self-Assessment_Cases'!$I4:$I657,"In Progress - Administrative")</f>
        <v>0</v>
      </c>
      <c r="E3" s="64">
        <f t="shared" ref="E3:E67" si="1">D3*3</f>
        <v>0</v>
      </c>
      <c r="F3" s="62">
        <f>COUNTIFS('Self-Assessment_Cases'!$E$4:$E$657,"AC-16",'Self-Assessment_Cases'!$I4:$I657,"In Progress - Configuration")</f>
        <v>0</v>
      </c>
      <c r="G3" s="65">
        <f t="shared" ref="G3:G67" si="2">F3*3</f>
        <v>0</v>
      </c>
      <c r="H3" s="48">
        <f>COUNTIFS('Self-Assessment_Cases'!$E$4:$E$657,"AC-16",'Self-Assessment_Cases'!$I4:$I657,"In Progress - Installation/Upgrade")</f>
        <v>0</v>
      </c>
      <c r="I3" s="66">
        <f t="shared" ref="I3:I67" si="3">H3*3</f>
        <v>0</v>
      </c>
      <c r="J3" s="49">
        <f>COUNTIFS('Self-Assessment_Cases'!$E$4:$E$657,"AC-16",'Self-Assessment_Cases'!$I4:$I657,"Not Implemented - Compensating Control")</f>
        <v>0</v>
      </c>
      <c r="K3" s="67">
        <f t="shared" ref="K3:K67" si="4">J3*5</f>
        <v>0</v>
      </c>
      <c r="L3" s="50">
        <f>COUNTIFS('Self-Assessment_Cases'!$E$4:$E$657,"AC-16",'Self-Assessment_Cases'!$I4:$I657,"Not Implemented - Risk Negligible")</f>
        <v>0</v>
      </c>
      <c r="M3" s="56">
        <f t="shared" ref="M3:M67" si="5">L3*5</f>
        <v>0</v>
      </c>
      <c r="N3" s="57">
        <f>COUNTIFS('Self-Assessment_Cases'!$E$4:$E$657,"AC-16",'Self-Assessment_Cases'!$I4:$I657,"Not Implemented - Risk Accepted")</f>
        <v>0</v>
      </c>
      <c r="O3" s="57">
        <f t="shared" ref="O3:O67" si="6">N3</f>
        <v>0</v>
      </c>
      <c r="P3" s="58">
        <f>COUNTIFS('Self-Assessment_Cases'!$E$4:$E$657,"AC-16",'Self-Assessment_Cases'!$I4:$I657,"Not Implemented - Planned")</f>
        <v>0</v>
      </c>
      <c r="Q3" s="58">
        <f t="shared" ref="Q3:Q67" si="7">P3</f>
        <v>0</v>
      </c>
      <c r="R3" s="59">
        <f>COUNTIFS('Self-Assessment_Cases'!$E$4:$E$657,"AC-16",'Self-Assessment_Cases'!$I4:$I657,"Not Implemented - Unplanned")</f>
        <v>0</v>
      </c>
      <c r="S3" s="59">
        <f t="shared" ref="S3:S67" si="8">R3</f>
        <v>0</v>
      </c>
      <c r="T3" s="60">
        <f>COUNTIFS('Self-Assessment_Cases'!$E$4:$E$657,"AC-16",'Self-Assessment_Cases'!$I4:$I657,"Not Applicable")</f>
        <v>0</v>
      </c>
      <c r="U3" s="61"/>
      <c r="V3" s="68" t="e">
        <f t="shared" ref="V3:V67" si="9">(C3+E3+G3+I3+K3+M3+O3+Q3+S3)/W3</f>
        <v>#DIV/0!</v>
      </c>
      <c r="W3" s="44">
        <f t="shared" ref="W3:W67" si="10">(B3+D3+F3+H3+J3+L3+N3+P3+R3)*5</f>
        <v>0</v>
      </c>
    </row>
    <row r="4" spans="1:23" x14ac:dyDescent="0.2">
      <c r="A4" s="45" t="s">
        <v>13</v>
      </c>
      <c r="B4" s="46">
        <f>COUNTIFS('Self-Assessment_Cases'!$E$4:$E$657,"AC-17",'Self-Assessment_Cases'!$I4:$I657,"Implemented")</f>
        <v>0</v>
      </c>
      <c r="C4" s="63">
        <f t="shared" si="0"/>
        <v>0</v>
      </c>
      <c r="D4" s="47">
        <f>COUNTIFS('Self-Assessment_Cases'!$E$4:$E$657,"AC-17",'Self-Assessment_Cases'!$I4:$I657,"In Progress - Administrative")</f>
        <v>0</v>
      </c>
      <c r="E4" s="64">
        <f t="shared" si="1"/>
        <v>0</v>
      </c>
      <c r="F4" s="62">
        <f>COUNTIFS('Self-Assessment_Cases'!$E$4:$E$657,"AC-17",'Self-Assessment_Cases'!$I4:$I657,"In Progress - Configuration")</f>
        <v>0</v>
      </c>
      <c r="G4" s="65">
        <f t="shared" si="2"/>
        <v>0</v>
      </c>
      <c r="H4" s="48">
        <f>COUNTIFS('Self-Assessment_Cases'!$E$4:$E$657,"AC-17",'Self-Assessment_Cases'!$I4:$I657,"In Progress - Installation/Upgrade")</f>
        <v>0</v>
      </c>
      <c r="I4" s="66">
        <f t="shared" si="3"/>
        <v>0</v>
      </c>
      <c r="J4" s="49">
        <f>COUNTIFS('Self-Assessment_Cases'!$E$4:$E$657,"AC-17",'Self-Assessment_Cases'!$I4:$I657,"Not Implemented - Compensating Control")</f>
        <v>0</v>
      </c>
      <c r="K4" s="67">
        <f t="shared" si="4"/>
        <v>0</v>
      </c>
      <c r="L4" s="50">
        <f>COUNTIFS('Self-Assessment_Cases'!$E$4:$E$657,"AC-17",'Self-Assessment_Cases'!$I4:$I657,"Not Implemented - Risk Negligible")</f>
        <v>0</v>
      </c>
      <c r="M4" s="56">
        <f t="shared" si="5"/>
        <v>0</v>
      </c>
      <c r="N4" s="57">
        <f>COUNTIFS('Self-Assessment_Cases'!$E$4:$E$657,"AC-17",'Self-Assessment_Cases'!$I4:$I657,"Not Implemented - Risk Accepted")</f>
        <v>0</v>
      </c>
      <c r="O4" s="57">
        <f t="shared" si="6"/>
        <v>0</v>
      </c>
      <c r="P4" s="58">
        <f>COUNTIFS('Self-Assessment_Cases'!$E$4:$E$657,"AC-17",'Self-Assessment_Cases'!$I4:$I657,"Not Implemented - Planned")</f>
        <v>0</v>
      </c>
      <c r="Q4" s="58">
        <f t="shared" si="7"/>
        <v>0</v>
      </c>
      <c r="R4" s="59">
        <f>COUNTIFS('Self-Assessment_Cases'!$E$4:$E$657,"AC-17",'Self-Assessment_Cases'!$I4:$I657,"Not Implemented - Unplanned")</f>
        <v>0</v>
      </c>
      <c r="S4" s="59">
        <f t="shared" si="8"/>
        <v>0</v>
      </c>
      <c r="T4" s="60">
        <f>COUNTIFS('Self-Assessment_Cases'!$E$4:$E$657,"AC-17",'Self-Assessment_Cases'!$I4:$I657,"Not Applicable")</f>
        <v>0</v>
      </c>
      <c r="U4" s="61"/>
      <c r="V4" s="68" t="e">
        <f t="shared" si="9"/>
        <v>#DIV/0!</v>
      </c>
      <c r="W4" s="44">
        <f t="shared" si="10"/>
        <v>0</v>
      </c>
    </row>
    <row r="5" spans="1:23" x14ac:dyDescent="0.2">
      <c r="A5" s="45" t="s">
        <v>15</v>
      </c>
      <c r="B5" s="46">
        <f>COUNTIFS('Self-Assessment_Cases'!$E$4:$E$657,"AC-18",'Self-Assessment_Cases'!$I4:$I657,"Implemented")</f>
        <v>0</v>
      </c>
      <c r="C5" s="63">
        <f t="shared" si="0"/>
        <v>0</v>
      </c>
      <c r="D5" s="47">
        <f>COUNTIFS('Self-Assessment_Cases'!$E$4:$E$657,"AC-18",'Self-Assessment_Cases'!$I4:$I657,"In Progress - Administrative")</f>
        <v>0</v>
      </c>
      <c r="E5" s="64">
        <f t="shared" si="1"/>
        <v>0</v>
      </c>
      <c r="F5" s="62">
        <f>COUNTIFS('Self-Assessment_Cases'!$E$4:$E$657,"AC-18",'Self-Assessment_Cases'!$I4:$I657,"In Progress - Configuration")</f>
        <v>0</v>
      </c>
      <c r="G5" s="65">
        <f t="shared" si="2"/>
        <v>0</v>
      </c>
      <c r="H5" s="48">
        <f>COUNTIFS('Self-Assessment_Cases'!$E$4:$E$657,"AC-18",'Self-Assessment_Cases'!$I4:$I657,"In Progress - Installation/Upgrade")</f>
        <v>0</v>
      </c>
      <c r="I5" s="66">
        <f t="shared" si="3"/>
        <v>0</v>
      </c>
      <c r="J5" s="49">
        <f>COUNTIFS('Self-Assessment_Cases'!$E$4:$E$657,"AC-18",'Self-Assessment_Cases'!$I4:$I657,"Not Implemented - Compensating Control")</f>
        <v>0</v>
      </c>
      <c r="K5" s="67">
        <f t="shared" si="4"/>
        <v>0</v>
      </c>
      <c r="L5" s="50">
        <f>COUNTIFS('Self-Assessment_Cases'!$E$4:$E$657,"AC-18",'Self-Assessment_Cases'!$I4:$I657,"Not Implemented - Risk Negligible")</f>
        <v>0</v>
      </c>
      <c r="M5" s="56">
        <f t="shared" si="5"/>
        <v>0</v>
      </c>
      <c r="N5" s="57">
        <f>COUNTIFS('Self-Assessment_Cases'!$E$4:$E$657,"AC-18",'Self-Assessment_Cases'!$I4:$I657,"Not Implemented - Risk Accepted")</f>
        <v>0</v>
      </c>
      <c r="O5" s="57">
        <f t="shared" si="6"/>
        <v>0</v>
      </c>
      <c r="P5" s="58">
        <f>COUNTIFS('Self-Assessment_Cases'!$E$4:$E$657,"AC-18",'Self-Assessment_Cases'!$I4:$I657,"Not Implemented - Planned")</f>
        <v>0</v>
      </c>
      <c r="Q5" s="58">
        <f t="shared" si="7"/>
        <v>0</v>
      </c>
      <c r="R5" s="59">
        <f>COUNTIFS('Self-Assessment_Cases'!$E$4:$E$657,"AC-18",'Self-Assessment_Cases'!$I4:$I657,"Not Implemented - Unplanned")</f>
        <v>0</v>
      </c>
      <c r="S5" s="59">
        <f t="shared" si="8"/>
        <v>0</v>
      </c>
      <c r="T5" s="60">
        <f>COUNTIFS('Self-Assessment_Cases'!$E$4:$E$657,"AC-18",'Self-Assessment_Cases'!$I4:$I657,"Not Applicable")</f>
        <v>0</v>
      </c>
      <c r="U5" s="61"/>
      <c r="V5" s="68" t="e">
        <f t="shared" si="9"/>
        <v>#DIV/0!</v>
      </c>
      <c r="W5" s="44">
        <f t="shared" si="10"/>
        <v>0</v>
      </c>
    </row>
    <row r="6" spans="1:23" ht="15" customHeight="1" x14ac:dyDescent="0.2">
      <c r="A6" s="45" t="s">
        <v>17</v>
      </c>
      <c r="B6" s="46">
        <f>COUNTIFS('Self-Assessment_Cases'!$E$4:$E$657,"AC-19",'Self-Assessment_Cases'!$I4:$I657,"Implemented")</f>
        <v>0</v>
      </c>
      <c r="C6" s="63">
        <f t="shared" si="0"/>
        <v>0</v>
      </c>
      <c r="D6" s="47">
        <f>COUNTIFS('Self-Assessment_Cases'!$E$4:$E$657,"AC-19",'Self-Assessment_Cases'!$I4:$I657,"In Progress - Administrative")</f>
        <v>0</v>
      </c>
      <c r="E6" s="64">
        <f t="shared" si="1"/>
        <v>0</v>
      </c>
      <c r="F6" s="62">
        <f>COUNTIFS('Self-Assessment_Cases'!$E$4:$E$657,"AC-19",'Self-Assessment_Cases'!$I4:$I657,"In Progress - Configuration")</f>
        <v>0</v>
      </c>
      <c r="G6" s="65">
        <f t="shared" si="2"/>
        <v>0</v>
      </c>
      <c r="H6" s="48">
        <f>COUNTIFS('Self-Assessment_Cases'!$E$4:$E$657,"AC-19",'Self-Assessment_Cases'!$I4:$I657,"In Progress - Installation/Upgrade")</f>
        <v>0</v>
      </c>
      <c r="I6" s="66">
        <f t="shared" si="3"/>
        <v>0</v>
      </c>
      <c r="J6" s="49">
        <f>COUNTIFS('Self-Assessment_Cases'!$E$4:$E$657,"AC-19",'Self-Assessment_Cases'!$I4:$I657,"Not Implemented - Compensating Control")</f>
        <v>0</v>
      </c>
      <c r="K6" s="67">
        <f t="shared" si="4"/>
        <v>0</v>
      </c>
      <c r="L6" s="50">
        <f>COUNTIFS('Self-Assessment_Cases'!$E$4:$E$657,"AC-19",'Self-Assessment_Cases'!$I4:$I657,"Not Implemented - Risk Negligible")</f>
        <v>0</v>
      </c>
      <c r="M6" s="56">
        <f t="shared" si="5"/>
        <v>0</v>
      </c>
      <c r="N6" s="57">
        <f>COUNTIFS('Self-Assessment_Cases'!$E$4:$E$657,"AC-19",'Self-Assessment_Cases'!$I4:$I657,"Not Implemented - Risk Accepted")</f>
        <v>0</v>
      </c>
      <c r="O6" s="57">
        <f t="shared" si="6"/>
        <v>0</v>
      </c>
      <c r="P6" s="58">
        <f>COUNTIFS('Self-Assessment_Cases'!$E$4:$E$657,"AC-19",'Self-Assessment_Cases'!$I4:$I657,"Not Implemented - Planned")</f>
        <v>0</v>
      </c>
      <c r="Q6" s="58">
        <f t="shared" si="7"/>
        <v>0</v>
      </c>
      <c r="R6" s="59">
        <f>COUNTIFS('Self-Assessment_Cases'!$E$4:$E$657,"AC-19",'Self-Assessment_Cases'!$I4:$I657,"Not Implemented - Unplanned")</f>
        <v>0</v>
      </c>
      <c r="S6" s="59">
        <f t="shared" si="8"/>
        <v>0</v>
      </c>
      <c r="T6" s="60">
        <f>COUNTIFS('Self-Assessment_Cases'!$E$4:$E$657,"AC-19",'Self-Assessment_Cases'!$I4:$I657,"Not Applicable")</f>
        <v>0</v>
      </c>
      <c r="U6" s="61"/>
      <c r="V6" s="68" t="e">
        <f t="shared" si="9"/>
        <v>#DIV/0!</v>
      </c>
      <c r="W6" s="44">
        <f t="shared" si="10"/>
        <v>0</v>
      </c>
    </row>
    <row r="7" spans="1:23" x14ac:dyDescent="0.2">
      <c r="A7" s="45" t="s">
        <v>2</v>
      </c>
      <c r="B7" s="46">
        <f>COUNTIFS('Self-Assessment_Cases'!$E$4:$E$657,"AC-2",'Self-Assessment_Cases'!$I4:$I657,"Implemented")</f>
        <v>0</v>
      </c>
      <c r="C7" s="63">
        <f t="shared" si="0"/>
        <v>0</v>
      </c>
      <c r="D7" s="47">
        <f>COUNTIFS('Self-Assessment_Cases'!$E$4:$E$657,"AC-2",'Self-Assessment_Cases'!$I4:$I657,"In Progress - Administrative")</f>
        <v>0</v>
      </c>
      <c r="E7" s="64">
        <f t="shared" si="1"/>
        <v>0</v>
      </c>
      <c r="F7" s="62">
        <f>COUNTIFS('Self-Assessment_Cases'!$E$4:$E$657,"AC-2",'Self-Assessment_Cases'!$I4:$I657,"In Progress - Configuration")</f>
        <v>0</v>
      </c>
      <c r="G7" s="65">
        <f t="shared" si="2"/>
        <v>0</v>
      </c>
      <c r="H7" s="48">
        <f>COUNTIFS('Self-Assessment_Cases'!$E$4:$E$657,"AC-2",'Self-Assessment_Cases'!$I4:$I657,"In Progress - Installation/Upgrade")</f>
        <v>0</v>
      </c>
      <c r="I7" s="66">
        <f t="shared" si="3"/>
        <v>0</v>
      </c>
      <c r="J7" s="49">
        <f>COUNTIFS('Self-Assessment_Cases'!$E$4:$E$657,"AC-2",'Self-Assessment_Cases'!$I4:$I657,"Not Implemented - Compensating Control")</f>
        <v>0</v>
      </c>
      <c r="K7" s="67">
        <f t="shared" si="4"/>
        <v>0</v>
      </c>
      <c r="L7" s="50">
        <f>COUNTIFS('Self-Assessment_Cases'!$E$4:$E$657,"AC-2",'Self-Assessment_Cases'!$I4:$I657,"Not Implemented - Risk Negligible")</f>
        <v>0</v>
      </c>
      <c r="M7" s="56">
        <f t="shared" si="5"/>
        <v>0</v>
      </c>
      <c r="N7" s="57">
        <f>COUNTIFS('Self-Assessment_Cases'!$E$4:$E$657,"AC-2",'Self-Assessment_Cases'!$I4:$I657,"Not Implemented - Risk Accepted")</f>
        <v>0</v>
      </c>
      <c r="O7" s="57">
        <f t="shared" si="6"/>
        <v>0</v>
      </c>
      <c r="P7" s="58">
        <f>COUNTIFS('Self-Assessment_Cases'!$E$4:$E$657,"AC-2",'Self-Assessment_Cases'!$I4:$I657,"Not Implemented - Planned")</f>
        <v>0</v>
      </c>
      <c r="Q7" s="58">
        <f t="shared" si="7"/>
        <v>0</v>
      </c>
      <c r="R7" s="59">
        <f>COUNTIFS('Self-Assessment_Cases'!$E$4:$E$657,"AC-2",'Self-Assessment_Cases'!$I4:$I657,"Not Implemented - Unplanned")</f>
        <v>0</v>
      </c>
      <c r="S7" s="59">
        <f t="shared" si="8"/>
        <v>0</v>
      </c>
      <c r="T7" s="60">
        <f>COUNTIFS('Self-Assessment_Cases'!$E$4:$E$657,"AC-2",'Self-Assessment_Cases'!$I4:$I657,"Not Applicable")</f>
        <v>0</v>
      </c>
      <c r="U7" s="61"/>
      <c r="V7" s="68" t="e">
        <f t="shared" si="9"/>
        <v>#DIV/0!</v>
      </c>
      <c r="W7" s="44">
        <f t="shared" si="10"/>
        <v>0</v>
      </c>
    </row>
    <row r="8" spans="1:23" ht="15" customHeight="1" x14ac:dyDescent="0.2">
      <c r="A8" s="45" t="s">
        <v>19</v>
      </c>
      <c r="B8" s="46">
        <f>COUNTIFS('Self-Assessment_Cases'!$E$4:$E$657,"AC-20",'Self-Assessment_Cases'!$I4:$I657,"Implemented")</f>
        <v>0</v>
      </c>
      <c r="C8" s="63">
        <f t="shared" si="0"/>
        <v>0</v>
      </c>
      <c r="D8" s="47">
        <f>COUNTIFS('Self-Assessment_Cases'!$E$4:$E$657,"AC-20",'Self-Assessment_Cases'!$I4:$I657,"In Progress - Administrative")</f>
        <v>0</v>
      </c>
      <c r="E8" s="64">
        <f t="shared" si="1"/>
        <v>0</v>
      </c>
      <c r="F8" s="62">
        <f>COUNTIFS('Self-Assessment_Cases'!$E$4:$E$657,"AC-20",'Self-Assessment_Cases'!$I4:$I657,"In Progress - Configuration")</f>
        <v>0</v>
      </c>
      <c r="G8" s="65">
        <f t="shared" si="2"/>
        <v>0</v>
      </c>
      <c r="H8" s="48">
        <f>COUNTIFS('Self-Assessment_Cases'!$E$4:$E$657,"AC-20",'Self-Assessment_Cases'!$I4:$I657,"In Progress - Installation/Upgrade")</f>
        <v>0</v>
      </c>
      <c r="I8" s="66">
        <f t="shared" si="3"/>
        <v>0</v>
      </c>
      <c r="J8" s="49">
        <f>COUNTIFS('Self-Assessment_Cases'!$E$4:$E$657,"AC-20",'Self-Assessment_Cases'!$I4:$I657,"Not Implemented - Compensating Control")</f>
        <v>0</v>
      </c>
      <c r="K8" s="67">
        <f t="shared" si="4"/>
        <v>0</v>
      </c>
      <c r="L8" s="50">
        <f>COUNTIFS('Self-Assessment_Cases'!$E$4:$E$657,"AC-20",'Self-Assessment_Cases'!$I4:$I657,"Not Implemented - Risk Negligible")</f>
        <v>0</v>
      </c>
      <c r="M8" s="56">
        <f t="shared" si="5"/>
        <v>0</v>
      </c>
      <c r="N8" s="57">
        <f>COUNTIFS('Self-Assessment_Cases'!$E$4:$E$657,"AC-20",'Self-Assessment_Cases'!$I4:$I657,"Not Implemented - Risk Accepted")</f>
        <v>0</v>
      </c>
      <c r="O8" s="57">
        <f t="shared" si="6"/>
        <v>0</v>
      </c>
      <c r="P8" s="58">
        <f>COUNTIFS('Self-Assessment_Cases'!$E$4:$E$657,"AC-20",'Self-Assessment_Cases'!$I4:$I657,"Not Implemented - Planned")</f>
        <v>0</v>
      </c>
      <c r="Q8" s="58">
        <f t="shared" si="7"/>
        <v>0</v>
      </c>
      <c r="R8" s="59">
        <f>COUNTIFS('Self-Assessment_Cases'!$E$4:$E$657,"AC-20",'Self-Assessment_Cases'!$I4:$I657,"Not Implemented - Unplanned")</f>
        <v>0</v>
      </c>
      <c r="S8" s="59">
        <f t="shared" si="8"/>
        <v>0</v>
      </c>
      <c r="T8" s="60">
        <f>COUNTIFS('Self-Assessment_Cases'!$E$4:$E$657,"AC-20",'Self-Assessment_Cases'!$I4:$I657,"Not Applicable")</f>
        <v>0</v>
      </c>
      <c r="U8" s="61"/>
      <c r="V8" s="68" t="e">
        <f t="shared" si="9"/>
        <v>#DIV/0!</v>
      </c>
      <c r="W8" s="44">
        <f t="shared" si="10"/>
        <v>0</v>
      </c>
    </row>
    <row r="9" spans="1:23" ht="15" customHeight="1" x14ac:dyDescent="0.2">
      <c r="A9" s="45" t="s">
        <v>21</v>
      </c>
      <c r="B9" s="46">
        <f>COUNTIFS('Self-Assessment_Cases'!$E$4:$E$657,"AC-21",'Self-Assessment_Cases'!$I4:$I657,"Implemented")</f>
        <v>0</v>
      </c>
      <c r="C9" s="63">
        <f t="shared" si="0"/>
        <v>0</v>
      </c>
      <c r="D9" s="47">
        <f>COUNTIFS('Self-Assessment_Cases'!$E$4:$E$657,"AC-21",'Self-Assessment_Cases'!$I4:$I657,"In Progress - Administrative")</f>
        <v>0</v>
      </c>
      <c r="E9" s="64">
        <f t="shared" si="1"/>
        <v>0</v>
      </c>
      <c r="F9" s="62">
        <f>COUNTIFS('Self-Assessment_Cases'!$E$4:$E$657,"AC-21",'Self-Assessment_Cases'!$I4:$I657,"In Progress - Configuration")</f>
        <v>0</v>
      </c>
      <c r="G9" s="65">
        <f t="shared" si="2"/>
        <v>0</v>
      </c>
      <c r="H9" s="48">
        <f>COUNTIFS('Self-Assessment_Cases'!$E$4:$E$657,"AC-21",'Self-Assessment_Cases'!$I4:$I657,"In Progress - Installation/Upgrade")</f>
        <v>0</v>
      </c>
      <c r="I9" s="66">
        <f t="shared" si="3"/>
        <v>0</v>
      </c>
      <c r="J9" s="49">
        <f>COUNTIFS('Self-Assessment_Cases'!$E$4:$E$657,"AC-21",'Self-Assessment_Cases'!$I4:$I657,"Not Implemented - Compensating Control")</f>
        <v>0</v>
      </c>
      <c r="K9" s="67">
        <f t="shared" si="4"/>
        <v>0</v>
      </c>
      <c r="L9" s="50">
        <f>COUNTIFS('Self-Assessment_Cases'!$E$4:$E$657,"AC-21",'Self-Assessment_Cases'!$I4:$I657,"Not Implemented - Risk Negligible")</f>
        <v>0</v>
      </c>
      <c r="M9" s="56">
        <f t="shared" si="5"/>
        <v>0</v>
      </c>
      <c r="N9" s="57">
        <f>COUNTIFS('Self-Assessment_Cases'!$E$4:$E$657,"AC-21",'Self-Assessment_Cases'!$I4:$I657,"Not Implemented - Risk Accepted")</f>
        <v>0</v>
      </c>
      <c r="O9" s="57">
        <f t="shared" si="6"/>
        <v>0</v>
      </c>
      <c r="P9" s="58">
        <f>COUNTIFS('Self-Assessment_Cases'!$E$4:$E$657,"AC-21",'Self-Assessment_Cases'!$I4:$I657,"Not Implemented - Planned")</f>
        <v>0</v>
      </c>
      <c r="Q9" s="58">
        <f t="shared" si="7"/>
        <v>0</v>
      </c>
      <c r="R9" s="59">
        <f>COUNTIFS('Self-Assessment_Cases'!$E$4:$E$657,"AC-21",'Self-Assessment_Cases'!$I4:$I657,"Not Implemented - Unplanned")</f>
        <v>0</v>
      </c>
      <c r="S9" s="59">
        <f t="shared" si="8"/>
        <v>0</v>
      </c>
      <c r="T9" s="60">
        <f>COUNTIFS('Self-Assessment_Cases'!$E$4:$E$657,"AC-21",'Self-Assessment_Cases'!$I4:$I657,"Not Applicable")</f>
        <v>0</v>
      </c>
      <c r="U9" s="61"/>
      <c r="V9" s="68" t="e">
        <f t="shared" si="9"/>
        <v>#DIV/0!</v>
      </c>
      <c r="W9" s="44">
        <f t="shared" si="10"/>
        <v>0</v>
      </c>
    </row>
    <row r="10" spans="1:23" x14ac:dyDescent="0.2">
      <c r="A10" s="45" t="s">
        <v>3</v>
      </c>
      <c r="B10" s="46">
        <f>COUNTIFS('Self-Assessment_Cases'!$E$4:$E$657,"AC-3",'Self-Assessment_Cases'!$I4:$I657,"Implemented")</f>
        <v>0</v>
      </c>
      <c r="C10" s="63">
        <f t="shared" si="0"/>
        <v>0</v>
      </c>
      <c r="D10" s="47">
        <f>COUNTIFS('Self-Assessment_Cases'!$E$4:$E$657,"AC-3",'Self-Assessment_Cases'!$I4:$I657,"In Progress - Administrative")</f>
        <v>0</v>
      </c>
      <c r="E10" s="64">
        <f t="shared" si="1"/>
        <v>0</v>
      </c>
      <c r="F10" s="62">
        <f>COUNTIFS('Self-Assessment_Cases'!$E$4:$E$657,"AC-3",'Self-Assessment_Cases'!$I4:$I657,"In Progress - Configuration")</f>
        <v>0</v>
      </c>
      <c r="G10" s="65">
        <f t="shared" si="2"/>
        <v>0</v>
      </c>
      <c r="H10" s="48">
        <f>COUNTIFS('Self-Assessment_Cases'!$E$4:$E$657,"AC-3",'Self-Assessment_Cases'!$I4:$I657,"In Progress - Installation/Upgrade")</f>
        <v>0</v>
      </c>
      <c r="I10" s="66">
        <f t="shared" si="3"/>
        <v>0</v>
      </c>
      <c r="J10" s="49">
        <f>COUNTIFS('Self-Assessment_Cases'!$E$4:$E$657,"AC-3",'Self-Assessment_Cases'!$I4:$I657,"Not Implemented - Compensating Control")</f>
        <v>0</v>
      </c>
      <c r="K10" s="67">
        <f t="shared" si="4"/>
        <v>0</v>
      </c>
      <c r="L10" s="50">
        <f>COUNTIFS('Self-Assessment_Cases'!$E$4:$E$657,"AC-3",'Self-Assessment_Cases'!$I4:$I657,"Not Implemented - Risk Negligible")</f>
        <v>0</v>
      </c>
      <c r="M10" s="56">
        <f t="shared" si="5"/>
        <v>0</v>
      </c>
      <c r="N10" s="57">
        <f>COUNTIFS('Self-Assessment_Cases'!$E$4:$E$657,"AC-3",'Self-Assessment_Cases'!$I4:$I657,"Not Implemented - Risk Accepted")</f>
        <v>0</v>
      </c>
      <c r="O10" s="57">
        <f t="shared" si="6"/>
        <v>0</v>
      </c>
      <c r="P10" s="58">
        <f>COUNTIFS('Self-Assessment_Cases'!$E$4:$E$657,"AC-3",'Self-Assessment_Cases'!$I4:$I657,"Not Implemented - Planned")</f>
        <v>0</v>
      </c>
      <c r="Q10" s="58">
        <f t="shared" si="7"/>
        <v>0</v>
      </c>
      <c r="R10" s="59">
        <f>COUNTIFS('Self-Assessment_Cases'!$E$4:$E$657,"AC-3",'Self-Assessment_Cases'!$I4:$I657,"Not Implemented - Unplanned")</f>
        <v>0</v>
      </c>
      <c r="S10" s="59">
        <f t="shared" si="8"/>
        <v>0</v>
      </c>
      <c r="T10" s="60">
        <f>COUNTIFS('Self-Assessment_Cases'!$E$4:$E$657,"AC-3",'Self-Assessment_Cases'!$I4:$I657,"Not Applicable")</f>
        <v>0</v>
      </c>
      <c r="U10" s="61"/>
      <c r="V10" s="68" t="e">
        <f t="shared" si="9"/>
        <v>#DIV/0!</v>
      </c>
      <c r="W10" s="44">
        <f t="shared" si="10"/>
        <v>0</v>
      </c>
    </row>
    <row r="11" spans="1:23" ht="15" customHeight="1" x14ac:dyDescent="0.2">
      <c r="A11" s="45" t="s">
        <v>5</v>
      </c>
      <c r="B11" s="46">
        <f>COUNTIFS('Self-Assessment_Cases'!$E$4:$E$657,"AC-4",'Self-Assessment_Cases'!$I4:$I657,"Implemented")</f>
        <v>0</v>
      </c>
      <c r="C11" s="63">
        <f t="shared" si="0"/>
        <v>0</v>
      </c>
      <c r="D11" s="47">
        <f>COUNTIFS('Self-Assessment_Cases'!$E$4:$E$657,"AC-4",'Self-Assessment_Cases'!$I4:$I657,"In Progress - Administrative")</f>
        <v>0</v>
      </c>
      <c r="E11" s="64">
        <f t="shared" si="1"/>
        <v>0</v>
      </c>
      <c r="F11" s="62">
        <f>COUNTIFS('Self-Assessment_Cases'!$E$4:$E$657,"AC-4",'Self-Assessment_Cases'!$I4:$I657,"In Progress - Configuration")</f>
        <v>0</v>
      </c>
      <c r="G11" s="65">
        <f t="shared" si="2"/>
        <v>0</v>
      </c>
      <c r="H11" s="48">
        <f>COUNTIFS('Self-Assessment_Cases'!$E$4:$E$657,"AC-4",'Self-Assessment_Cases'!$I4:$I657,"In Progress - Installation/Upgrade")</f>
        <v>0</v>
      </c>
      <c r="I11" s="66">
        <f t="shared" si="3"/>
        <v>0</v>
      </c>
      <c r="J11" s="49">
        <f>COUNTIFS('Self-Assessment_Cases'!$E$4:$E$657,"AC-4",'Self-Assessment_Cases'!$I4:$I657,"Not Implemented - Compensating Control")</f>
        <v>0</v>
      </c>
      <c r="K11" s="67">
        <f t="shared" si="4"/>
        <v>0</v>
      </c>
      <c r="L11" s="50">
        <f>COUNTIFS('Self-Assessment_Cases'!$E$4:$E$657,"AC-4",'Self-Assessment_Cases'!$I4:$I657,"Not Implemented - Risk Negligible")</f>
        <v>0</v>
      </c>
      <c r="M11" s="56">
        <f t="shared" si="5"/>
        <v>0</v>
      </c>
      <c r="N11" s="57">
        <f>COUNTIFS('Self-Assessment_Cases'!$E$4:$E$657,"AC-4",'Self-Assessment_Cases'!$I4:$I657,"Not Implemented - Risk Accepted")</f>
        <v>0</v>
      </c>
      <c r="O11" s="57">
        <f t="shared" si="6"/>
        <v>0</v>
      </c>
      <c r="P11" s="58">
        <f>COUNTIFS('Self-Assessment_Cases'!$E$4:$E$657,"AC-4",'Self-Assessment_Cases'!$I4:$I657,"Not Implemented - Planned")</f>
        <v>0</v>
      </c>
      <c r="Q11" s="58">
        <f t="shared" si="7"/>
        <v>0</v>
      </c>
      <c r="R11" s="59">
        <f>COUNTIFS('Self-Assessment_Cases'!$E$4:$E$657,"AC-4",'Self-Assessment_Cases'!$I4:$I657,"Not Implemented - Unplanned")</f>
        <v>0</v>
      </c>
      <c r="S11" s="59">
        <f t="shared" si="8"/>
        <v>0</v>
      </c>
      <c r="T11" s="60">
        <f>COUNTIFS('Self-Assessment_Cases'!$E$4:$E$657,"AC-4",'Self-Assessment_Cases'!$I4:$I657,"Not Applicable")</f>
        <v>0</v>
      </c>
      <c r="U11" s="61"/>
      <c r="V11" s="68" t="e">
        <f t="shared" si="9"/>
        <v>#DIV/0!</v>
      </c>
      <c r="W11" s="44">
        <f t="shared" si="10"/>
        <v>0</v>
      </c>
    </row>
    <row r="12" spans="1:23" ht="15" customHeight="1" x14ac:dyDescent="0.2">
      <c r="A12" s="45" t="s">
        <v>7</v>
      </c>
      <c r="B12" s="46">
        <f>COUNTIFS('Self-Assessment_Cases'!$E$4:$E$657,"AC-5",'Self-Assessment_Cases'!$I4:$I657,"Implemented")</f>
        <v>0</v>
      </c>
      <c r="C12" s="63">
        <f t="shared" si="0"/>
        <v>0</v>
      </c>
      <c r="D12" s="47">
        <f>COUNTIFS('Self-Assessment_Cases'!$E$4:$E$657,"AC-5",'Self-Assessment_Cases'!$I4:$I657,"In Progress - Administrative")</f>
        <v>0</v>
      </c>
      <c r="E12" s="64">
        <f t="shared" si="1"/>
        <v>0</v>
      </c>
      <c r="F12" s="62">
        <f>COUNTIFS('Self-Assessment_Cases'!$E$4:$E$657,"AC-5",'Self-Assessment_Cases'!$I4:$I657,"In Progress - Configuration")</f>
        <v>0</v>
      </c>
      <c r="G12" s="65">
        <f t="shared" si="2"/>
        <v>0</v>
      </c>
      <c r="H12" s="48">
        <f>COUNTIFS('Self-Assessment_Cases'!$E$4:$E$657,"AC-5",'Self-Assessment_Cases'!$I4:$I657,"In Progress - Installation/Upgrade")</f>
        <v>0</v>
      </c>
      <c r="I12" s="66">
        <f t="shared" si="3"/>
        <v>0</v>
      </c>
      <c r="J12" s="49">
        <f>COUNTIFS('Self-Assessment_Cases'!$E$4:$E$657,"AC-5",'Self-Assessment_Cases'!$I4:$I657,"Not Implemented - Compensating Control")</f>
        <v>0</v>
      </c>
      <c r="K12" s="67">
        <f t="shared" si="4"/>
        <v>0</v>
      </c>
      <c r="L12" s="50">
        <f>COUNTIFS('Self-Assessment_Cases'!$E$4:$E$657,"AC-5",'Self-Assessment_Cases'!$I4:$I657,"Not Implemented - Risk Negligible")</f>
        <v>0</v>
      </c>
      <c r="M12" s="56">
        <f t="shared" si="5"/>
        <v>0</v>
      </c>
      <c r="N12" s="57">
        <f>COUNTIFS('Self-Assessment_Cases'!$E$4:$E$657,"AC-5",'Self-Assessment_Cases'!$I4:$I657,"Not Implemented - Risk Accepted")</f>
        <v>0</v>
      </c>
      <c r="O12" s="57">
        <f t="shared" si="6"/>
        <v>0</v>
      </c>
      <c r="P12" s="58">
        <f>COUNTIFS('Self-Assessment_Cases'!$E$4:$E$657,"AC-5",'Self-Assessment_Cases'!$I4:$I657,"Not Implemented - Planned")</f>
        <v>0</v>
      </c>
      <c r="Q12" s="58">
        <f t="shared" si="7"/>
        <v>0</v>
      </c>
      <c r="R12" s="59">
        <f>COUNTIFS('Self-Assessment_Cases'!$E$4:$E$657,"AC-5",'Self-Assessment_Cases'!$I4:$I657,"Not Implemented - Unplanned")</f>
        <v>0</v>
      </c>
      <c r="S12" s="59">
        <f t="shared" si="8"/>
        <v>0</v>
      </c>
      <c r="T12" s="60">
        <f>COUNTIFS('Self-Assessment_Cases'!$E$4:$E$657,"AC-5",'Self-Assessment_Cases'!$I4:$I657,"Not Applicable")</f>
        <v>0</v>
      </c>
      <c r="U12" s="61"/>
      <c r="V12" s="68" t="e">
        <f t="shared" si="9"/>
        <v>#DIV/0!</v>
      </c>
      <c r="W12" s="44">
        <f t="shared" si="10"/>
        <v>0</v>
      </c>
    </row>
    <row r="13" spans="1:23" x14ac:dyDescent="0.2">
      <c r="A13" s="45" t="s">
        <v>9</v>
      </c>
      <c r="B13" s="46">
        <f>COUNTIFS('Self-Assessment_Cases'!$E$4:$E$657,"AC-6",'Self-Assessment_Cases'!$I4:$I657,"Implemented")</f>
        <v>0</v>
      </c>
      <c r="C13" s="63">
        <f t="shared" si="0"/>
        <v>0</v>
      </c>
      <c r="D13" s="47">
        <f>COUNTIFS('Self-Assessment_Cases'!$E$4:$E$657,"AC-6",'Self-Assessment_Cases'!$I4:$I657,"In Progress - Administrative")</f>
        <v>0</v>
      </c>
      <c r="E13" s="64">
        <f t="shared" si="1"/>
        <v>0</v>
      </c>
      <c r="F13" s="62">
        <f>COUNTIFS('Self-Assessment_Cases'!$E$4:$E$657,"AC-6",'Self-Assessment_Cases'!$I4:$I657,"In Progress - Configuration")</f>
        <v>0</v>
      </c>
      <c r="G13" s="65">
        <f t="shared" si="2"/>
        <v>0</v>
      </c>
      <c r="H13" s="48">
        <f>COUNTIFS('Self-Assessment_Cases'!$E$4:$E$657,"AC-6",'Self-Assessment_Cases'!$I4:$I657,"In Progress - Installation/Upgrade")</f>
        <v>0</v>
      </c>
      <c r="I13" s="66">
        <f t="shared" si="3"/>
        <v>0</v>
      </c>
      <c r="J13" s="49">
        <f>COUNTIFS('Self-Assessment_Cases'!$E$4:$E$657,"AC-6",'Self-Assessment_Cases'!$I4:$I657,"Not Implemented - Compensating Control")</f>
        <v>0</v>
      </c>
      <c r="K13" s="67">
        <f t="shared" si="4"/>
        <v>0</v>
      </c>
      <c r="L13" s="50">
        <f>COUNTIFS('Self-Assessment_Cases'!$E$4:$E$657,"AC-6",'Self-Assessment_Cases'!$I4:$I657,"Not Implemented - Risk Negligible")</f>
        <v>0</v>
      </c>
      <c r="M13" s="56">
        <f t="shared" si="5"/>
        <v>0</v>
      </c>
      <c r="N13" s="57">
        <f>COUNTIFS('Self-Assessment_Cases'!$E$4:$E$657,"AC-6",'Self-Assessment_Cases'!$I4:$I657,"Not Implemented - Risk Accepted")</f>
        <v>0</v>
      </c>
      <c r="O13" s="57">
        <f t="shared" si="6"/>
        <v>0</v>
      </c>
      <c r="P13" s="58">
        <f>COUNTIFS('Self-Assessment_Cases'!$E$4:$E$657,"AC-6",'Self-Assessment_Cases'!$I4:$I657,"Not Implemented - Planned")</f>
        <v>0</v>
      </c>
      <c r="Q13" s="58">
        <f t="shared" si="7"/>
        <v>0</v>
      </c>
      <c r="R13" s="59">
        <f>COUNTIFS('Self-Assessment_Cases'!$E$4:$E$657,"AC-6",'Self-Assessment_Cases'!$I4:$I657,"Not Implemented - Unplanned")</f>
        <v>0</v>
      </c>
      <c r="S13" s="59">
        <f t="shared" si="8"/>
        <v>0</v>
      </c>
      <c r="T13" s="60">
        <f>COUNTIFS('Self-Assessment_Cases'!$E$4:$E$657,"AC-6",'Self-Assessment_Cases'!$I4:$I657,"Not Applicable")</f>
        <v>0</v>
      </c>
      <c r="U13" s="61"/>
      <c r="V13" s="68" t="e">
        <f t="shared" si="9"/>
        <v>#DIV/0!</v>
      </c>
      <c r="W13" s="44">
        <f t="shared" si="10"/>
        <v>0</v>
      </c>
    </row>
    <row r="14" spans="1:23" x14ac:dyDescent="0.2">
      <c r="A14" s="45" t="s">
        <v>11</v>
      </c>
      <c r="B14" s="46">
        <f>COUNTIFS('Self-Assessment_Cases'!$E$4:$E$657,"AC-7",'Self-Assessment_Cases'!$I4:$I657,"Implemented")</f>
        <v>0</v>
      </c>
      <c r="C14" s="63">
        <f t="shared" si="0"/>
        <v>0</v>
      </c>
      <c r="D14" s="47">
        <f>COUNTIFS('Self-Assessment_Cases'!$E$4:$E$657,"AC-7",'Self-Assessment_Cases'!$I4:$I657,"In Progress - Administrative")</f>
        <v>0</v>
      </c>
      <c r="E14" s="64">
        <f t="shared" si="1"/>
        <v>0</v>
      </c>
      <c r="F14" s="62">
        <f>COUNTIFS('Self-Assessment_Cases'!$E$4:$E$657,"AC-7",'Self-Assessment_Cases'!$I4:$I657,"In Progress - Configuration")</f>
        <v>0</v>
      </c>
      <c r="G14" s="65">
        <f t="shared" si="2"/>
        <v>0</v>
      </c>
      <c r="H14" s="48">
        <f>COUNTIFS('Self-Assessment_Cases'!$E$4:$E$657,"AC-7",'Self-Assessment_Cases'!$I4:$I657,"In Progress - Installation/Upgrade")</f>
        <v>0</v>
      </c>
      <c r="I14" s="66">
        <f t="shared" si="3"/>
        <v>0</v>
      </c>
      <c r="J14" s="49">
        <f>COUNTIFS('Self-Assessment_Cases'!$E$4:$E$657,"AC-7",'Self-Assessment_Cases'!$I4:$I657,"Not Implemented - Compensating Control")</f>
        <v>0</v>
      </c>
      <c r="K14" s="67">
        <f t="shared" si="4"/>
        <v>0</v>
      </c>
      <c r="L14" s="50">
        <f>COUNTIFS('Self-Assessment_Cases'!$E$4:$E$657,"AC-7",'Self-Assessment_Cases'!$I4:$I657,"Not Implemented - Risk Negligible")</f>
        <v>0</v>
      </c>
      <c r="M14" s="56">
        <f t="shared" si="5"/>
        <v>0</v>
      </c>
      <c r="N14" s="57">
        <f>COUNTIFS('Self-Assessment_Cases'!$E$4:$E$657,"AC-7",'Self-Assessment_Cases'!$I4:$I657,"Not Implemented - Risk Accepted")</f>
        <v>0</v>
      </c>
      <c r="O14" s="57">
        <f t="shared" si="6"/>
        <v>0</v>
      </c>
      <c r="P14" s="58">
        <f>COUNTIFS('Self-Assessment_Cases'!$E$4:$E$657,"AC-7",'Self-Assessment_Cases'!$I4:$I657,"Not Implemented - Planned")</f>
        <v>0</v>
      </c>
      <c r="Q14" s="58">
        <f t="shared" si="7"/>
        <v>0</v>
      </c>
      <c r="R14" s="59">
        <f>COUNTIFS('Self-Assessment_Cases'!$E$4:$E$657,"AC-7",'Self-Assessment_Cases'!$I4:$I657,"Not Implemented - Unplanned")</f>
        <v>0</v>
      </c>
      <c r="S14" s="59">
        <f t="shared" si="8"/>
        <v>0</v>
      </c>
      <c r="T14" s="60">
        <f>COUNTIFS('Self-Assessment_Cases'!$E$4:$E$657,"AC-7",'Self-Assessment_Cases'!$I4:$I657,"Not Applicable")</f>
        <v>0</v>
      </c>
      <c r="U14" s="61"/>
      <c r="V14" s="68" t="e">
        <f t="shared" si="9"/>
        <v>#DIV/0!</v>
      </c>
      <c r="W14" s="44">
        <f t="shared" si="10"/>
        <v>0</v>
      </c>
    </row>
    <row r="15" spans="1:23" x14ac:dyDescent="0.2">
      <c r="A15" s="45" t="s">
        <v>23</v>
      </c>
      <c r="B15" s="46">
        <f>COUNTIFS('Self-Assessment_Cases'!$E$4:$E$657,"AT-1",'Self-Assessment_Cases'!$I4:$I657,"Implemented")</f>
        <v>0</v>
      </c>
      <c r="C15" s="63">
        <f t="shared" si="0"/>
        <v>0</v>
      </c>
      <c r="D15" s="47">
        <f>COUNTIFS('Self-Assessment_Cases'!$E$4:$E$657,"AT-1",'Self-Assessment_Cases'!$I4:$I657,"In Progress - Administrative")</f>
        <v>0</v>
      </c>
      <c r="E15" s="64">
        <f t="shared" si="1"/>
        <v>0</v>
      </c>
      <c r="F15" s="62">
        <f>COUNTIFS('Self-Assessment_Cases'!$E$4:$E$657,"AT-1",'Self-Assessment_Cases'!$I4:$I657,"In Progress - Configuration")</f>
        <v>0</v>
      </c>
      <c r="G15" s="65">
        <f t="shared" si="2"/>
        <v>0</v>
      </c>
      <c r="H15" s="48">
        <f>COUNTIFS('Self-Assessment_Cases'!$E$4:$E$657,"AT-1",'Self-Assessment_Cases'!$I4:$I657,"In Progress - Installation/Upgrade")</f>
        <v>0</v>
      </c>
      <c r="I15" s="66">
        <f t="shared" si="3"/>
        <v>0</v>
      </c>
      <c r="J15" s="49">
        <f>COUNTIFS('Self-Assessment_Cases'!$E$4:$E$657,"AT-1",'Self-Assessment_Cases'!$I4:$I657,"Not Implemented - Compensating Control")</f>
        <v>0</v>
      </c>
      <c r="K15" s="67">
        <f t="shared" si="4"/>
        <v>0</v>
      </c>
      <c r="L15" s="50">
        <f>COUNTIFS('Self-Assessment_Cases'!$E$4:$E$657,"AT-1",'Self-Assessment_Cases'!$I4:$I657,"Not Implemented - Risk Negligible")</f>
        <v>0</v>
      </c>
      <c r="M15" s="56">
        <f t="shared" si="5"/>
        <v>0</v>
      </c>
      <c r="N15" s="57">
        <f>COUNTIFS('Self-Assessment_Cases'!$E$4:$E$657,"AT-1",'Self-Assessment_Cases'!$I4:$I657,"Not Implemented - Risk Accepted")</f>
        <v>0</v>
      </c>
      <c r="O15" s="57">
        <f t="shared" si="6"/>
        <v>0</v>
      </c>
      <c r="P15" s="58">
        <f>COUNTIFS('Self-Assessment_Cases'!$E$4:$E$657,"AT-1",'Self-Assessment_Cases'!$I4:$I657,"Not Implemented - Planned")</f>
        <v>0</v>
      </c>
      <c r="Q15" s="58">
        <f t="shared" si="7"/>
        <v>0</v>
      </c>
      <c r="R15" s="59">
        <f>COUNTIFS('Self-Assessment_Cases'!$E$4:$E$657,"AT-1",'Self-Assessment_Cases'!$I4:$I657,"Not Implemented - Unplanned")</f>
        <v>0</v>
      </c>
      <c r="S15" s="59">
        <f t="shared" si="8"/>
        <v>0</v>
      </c>
      <c r="T15" s="60">
        <f>COUNTIFS('Self-Assessment_Cases'!$E$4:$E$657,"AT-1",'Self-Assessment_Cases'!$I4:$I657,"Not Applicable")</f>
        <v>0</v>
      </c>
      <c r="U15" s="61"/>
      <c r="V15" s="68" t="e">
        <f t="shared" si="9"/>
        <v>#DIV/0!</v>
      </c>
      <c r="W15" s="44">
        <f t="shared" si="10"/>
        <v>0</v>
      </c>
    </row>
    <row r="16" spans="1:23" x14ac:dyDescent="0.2">
      <c r="A16" s="45" t="s">
        <v>25</v>
      </c>
      <c r="B16" s="46">
        <f>COUNTIFS('Self-Assessment_Cases'!$E$4:$E$657,"AT-2",'Self-Assessment_Cases'!$I4:$I657,"Implemented")</f>
        <v>0</v>
      </c>
      <c r="C16" s="63">
        <f t="shared" si="0"/>
        <v>0</v>
      </c>
      <c r="D16" s="47">
        <f>COUNTIFS('Self-Assessment_Cases'!$E$4:$E$657,"AT-2",'Self-Assessment_Cases'!$I4:$I657,"In Progress - Administrative")</f>
        <v>0</v>
      </c>
      <c r="E16" s="64">
        <f t="shared" si="1"/>
        <v>0</v>
      </c>
      <c r="F16" s="62">
        <f>COUNTIFS('Self-Assessment_Cases'!$E$4:$E$657,"AT-2",'Self-Assessment_Cases'!$I4:$I657,"In Progress - Configuration")</f>
        <v>0</v>
      </c>
      <c r="G16" s="65">
        <f t="shared" si="2"/>
        <v>0</v>
      </c>
      <c r="H16" s="48">
        <f>COUNTIFS('Self-Assessment_Cases'!$E$4:$E$657,"AT-2",'Self-Assessment_Cases'!$I4:$I657,"In Progress - Installation/Upgrade")</f>
        <v>0</v>
      </c>
      <c r="I16" s="66">
        <f t="shared" si="3"/>
        <v>0</v>
      </c>
      <c r="J16" s="49">
        <f>COUNTIFS('Self-Assessment_Cases'!$E$4:$E$657,"AT-2",'Self-Assessment_Cases'!$I4:$I657,"Not Implemented - Compensating Control")</f>
        <v>0</v>
      </c>
      <c r="K16" s="67">
        <f t="shared" si="4"/>
        <v>0</v>
      </c>
      <c r="L16" s="50">
        <f>COUNTIFS('Self-Assessment_Cases'!$E$4:$E$657,"AT-2",'Self-Assessment_Cases'!$I4:$I657,"Not Implemented - Risk Negligible")</f>
        <v>0</v>
      </c>
      <c r="M16" s="56">
        <f t="shared" si="5"/>
        <v>0</v>
      </c>
      <c r="N16" s="57">
        <f>COUNTIFS('Self-Assessment_Cases'!$E$4:$E$657,"AT-2",'Self-Assessment_Cases'!$I4:$I657,"Not Implemented - Risk Accepted")</f>
        <v>0</v>
      </c>
      <c r="O16" s="57">
        <f t="shared" si="6"/>
        <v>0</v>
      </c>
      <c r="P16" s="58">
        <f>COUNTIFS('Self-Assessment_Cases'!$E$4:$E$657,"AT-2",'Self-Assessment_Cases'!$I4:$I657,"Not Implemented - Planned")</f>
        <v>0</v>
      </c>
      <c r="Q16" s="58">
        <f t="shared" si="7"/>
        <v>0</v>
      </c>
      <c r="R16" s="59">
        <f>COUNTIFS('Self-Assessment_Cases'!$E$4:$E$657,"AT-2",'Self-Assessment_Cases'!$I4:$I657,"Not Implemented - Unplanned")</f>
        <v>0</v>
      </c>
      <c r="S16" s="59">
        <f t="shared" si="8"/>
        <v>0</v>
      </c>
      <c r="T16" s="60">
        <f>COUNTIFS('Self-Assessment_Cases'!$E$4:$E$657,"AT-2",'Self-Assessment_Cases'!$I4:$I657,"Not Applicable")</f>
        <v>0</v>
      </c>
      <c r="U16" s="61"/>
      <c r="V16" s="68" t="e">
        <f t="shared" si="9"/>
        <v>#DIV/0!</v>
      </c>
      <c r="W16" s="44">
        <f t="shared" si="10"/>
        <v>0</v>
      </c>
    </row>
    <row r="17" spans="1:23" x14ac:dyDescent="0.2">
      <c r="A17" s="45" t="s">
        <v>1563</v>
      </c>
      <c r="B17" s="46">
        <f>COUNTIFS('Self-Assessment_Cases'!$E$4:$E$657,"AT-3",'Self-Assessment_Cases'!$I4:$I657,"Implemented")</f>
        <v>0</v>
      </c>
      <c r="C17" s="63">
        <f t="shared" ref="C17" si="11">B17*5</f>
        <v>0</v>
      </c>
      <c r="D17" s="47">
        <f>COUNTIFS('Self-Assessment_Cases'!$E$4:$E$657,"AT-3",'Self-Assessment_Cases'!$I4:$I657,"In Progress - Administrative")</f>
        <v>0</v>
      </c>
      <c r="E17" s="64">
        <f t="shared" ref="E17" si="12">D17*3</f>
        <v>0</v>
      </c>
      <c r="F17" s="62">
        <f>COUNTIFS('Self-Assessment_Cases'!$E$4:$E$657,"AT-2",'Self-Assessment_Cases'!$I5:$I658,"In Progress - Configuration")</f>
        <v>0</v>
      </c>
      <c r="G17" s="65">
        <f t="shared" ref="G17" si="13">F17*3</f>
        <v>0</v>
      </c>
      <c r="H17" s="48">
        <f>COUNTIFS('Self-Assessment_Cases'!$E$4:$E$657,"AT-3",'Self-Assessment_Cases'!$I4:$I657,"In Progress - Installation/Upgrade")</f>
        <v>0</v>
      </c>
      <c r="I17" s="66">
        <f t="shared" ref="I17" si="14">H17*3</f>
        <v>0</v>
      </c>
      <c r="J17" s="49">
        <f>COUNTIFS('Self-Assessment_Cases'!$E$4:$E$657,"AT-3",'Self-Assessment_Cases'!$I4:$I657,"Not Implemented - Compensating Control")</f>
        <v>0</v>
      </c>
      <c r="K17" s="67">
        <f t="shared" ref="K17" si="15">J17*5</f>
        <v>0</v>
      </c>
      <c r="L17" s="50">
        <f>COUNTIFS('Self-Assessment_Cases'!$E$4:$E$657,"AT-2",'Self-Assessment_Cases'!$I5:$I658,"Not Implemented - Risk Negligible")</f>
        <v>0</v>
      </c>
      <c r="M17" s="56">
        <f t="shared" ref="M17" si="16">L17*5</f>
        <v>0</v>
      </c>
      <c r="N17" s="57">
        <f>COUNTIFS('Self-Assessment_Cases'!$E$4:$E$657,"AT-2",'Self-Assessment_Cases'!$I5:$I658,"Not Implemented - Risk Accepted")</f>
        <v>0</v>
      </c>
      <c r="O17" s="57">
        <f t="shared" ref="O17" si="17">N17</f>
        <v>0</v>
      </c>
      <c r="P17" s="58">
        <f>COUNTIFS('Self-Assessment_Cases'!$E$4:$E$657,"AT-2",'Self-Assessment_Cases'!$I5:$I658,"Not Implemented - Planned")</f>
        <v>0</v>
      </c>
      <c r="Q17" s="58">
        <f t="shared" ref="Q17" si="18">P17</f>
        <v>0</v>
      </c>
      <c r="R17" s="59">
        <f>COUNTIFS('Self-Assessment_Cases'!$E$4:$E$657,"AT-2",'Self-Assessment_Cases'!$I5:$I658,"Not Implemented - Unplanned")</f>
        <v>0</v>
      </c>
      <c r="S17" s="59">
        <f t="shared" ref="S17" si="19">R17</f>
        <v>0</v>
      </c>
      <c r="T17" s="60">
        <f>COUNTIFS('Self-Assessment_Cases'!$E$4:$E$657,"AT-3",'Self-Assessment_Cases'!$I4:$I657,"Not Applicable")</f>
        <v>0</v>
      </c>
      <c r="U17" s="61"/>
      <c r="V17" s="68" t="e">
        <f t="shared" ref="V17" si="20">(C17+E17+G17+I17+K17+M17+O17+Q17+S17)/W17</f>
        <v>#DIV/0!</v>
      </c>
      <c r="W17" s="44"/>
    </row>
    <row r="18" spans="1:23" ht="15" customHeight="1" x14ac:dyDescent="0.2">
      <c r="A18" s="45" t="s">
        <v>27</v>
      </c>
      <c r="B18" s="46">
        <f>COUNTIFS('Self-Assessment_Cases'!$E$4:$E$657,"AU-1",'Self-Assessment_Cases'!$I4:$I657,"Implemented")</f>
        <v>0</v>
      </c>
      <c r="C18" s="63">
        <f t="shared" si="0"/>
        <v>0</v>
      </c>
      <c r="D18" s="47">
        <f>COUNTIFS('Self-Assessment_Cases'!$E$4:$E$657,"AU-1",'Self-Assessment_Cases'!$I4:$I657,"In Progress - Administrative")</f>
        <v>0</v>
      </c>
      <c r="E18" s="64">
        <f t="shared" si="1"/>
        <v>0</v>
      </c>
      <c r="F18" s="62">
        <f>COUNTIFS('Self-Assessment_Cases'!$E$4:$E$657,"AU-1",'Self-Assessment_Cases'!$I4:$I657,"In Progress - Configuration")</f>
        <v>0</v>
      </c>
      <c r="G18" s="65">
        <f t="shared" si="2"/>
        <v>0</v>
      </c>
      <c r="H18" s="48">
        <f>COUNTIFS('Self-Assessment_Cases'!$E$4:$E$657,"AU-1",'Self-Assessment_Cases'!$I4:$I657,"In Progress - Installation/Upgrade")</f>
        <v>0</v>
      </c>
      <c r="I18" s="66">
        <f t="shared" si="3"/>
        <v>0</v>
      </c>
      <c r="J18" s="49">
        <f>COUNTIFS('Self-Assessment_Cases'!$E$4:$E$657,"AU-1",'Self-Assessment_Cases'!$I4:$I657,"Not Implemented - Compensating Control")</f>
        <v>0</v>
      </c>
      <c r="K18" s="67">
        <f t="shared" si="4"/>
        <v>0</v>
      </c>
      <c r="L18" s="50">
        <f>COUNTIFS('Self-Assessment_Cases'!$E$4:$E$657,"AU-1",'Self-Assessment_Cases'!$I4:$I657,"Not Implemented - Risk Negligible")</f>
        <v>0</v>
      </c>
      <c r="M18" s="56">
        <f t="shared" si="5"/>
        <v>0</v>
      </c>
      <c r="N18" s="57">
        <f>COUNTIFS('Self-Assessment_Cases'!$E$4:$E$657,"AU-1",'Self-Assessment_Cases'!$I4:$I657,"Not Implemented - Risk Accepted")</f>
        <v>0</v>
      </c>
      <c r="O18" s="57">
        <f t="shared" si="6"/>
        <v>0</v>
      </c>
      <c r="P18" s="58">
        <f>COUNTIFS('Self-Assessment_Cases'!$E$4:$E$657,"AU-1",'Self-Assessment_Cases'!$I4:$I657,"Not Implemented - Planned")</f>
        <v>0</v>
      </c>
      <c r="Q18" s="58">
        <f t="shared" si="7"/>
        <v>0</v>
      </c>
      <c r="R18" s="59">
        <f>COUNTIFS('Self-Assessment_Cases'!$E$4:$E$657,"AU-1",'Self-Assessment_Cases'!$I4:$I657,"Not Implemented - Unplanned")</f>
        <v>0</v>
      </c>
      <c r="S18" s="59">
        <f t="shared" si="8"/>
        <v>0</v>
      </c>
      <c r="T18" s="60">
        <f>COUNTIFS('Self-Assessment_Cases'!$E$4:$E$657,"AU-1",'Self-Assessment_Cases'!$I4:$I657,"Not Applicable")</f>
        <v>0</v>
      </c>
      <c r="U18" s="61"/>
      <c r="V18" s="68" t="e">
        <f t="shared" si="9"/>
        <v>#DIV/0!</v>
      </c>
      <c r="W18" s="44">
        <f t="shared" si="10"/>
        <v>0</v>
      </c>
    </row>
    <row r="19" spans="1:23" ht="15" customHeight="1" x14ac:dyDescent="0.2">
      <c r="A19" s="45" t="s">
        <v>221</v>
      </c>
      <c r="B19" s="46">
        <f>COUNTIFS('Self-Assessment_Cases'!$E$4:$E$657,"AU-10",'Self-Assessment_Cases'!$I4:$I657,"Implemented")</f>
        <v>0</v>
      </c>
      <c r="C19" s="63">
        <f t="shared" si="0"/>
        <v>0</v>
      </c>
      <c r="D19" s="47">
        <f>COUNTIFS('Self-Assessment_Cases'!$E$4:$E$657,"AU-10",'Self-Assessment_Cases'!$I4:$I657,"In Progress - Administrative")</f>
        <v>0</v>
      </c>
      <c r="E19" s="64">
        <f t="shared" si="1"/>
        <v>0</v>
      </c>
      <c r="F19" s="62">
        <f>COUNTIFS('Self-Assessment_Cases'!$E$4:$E$657,"AU-10",'Self-Assessment_Cases'!$I4:$I657,"In Progress - Configuration")</f>
        <v>0</v>
      </c>
      <c r="G19" s="65">
        <f t="shared" si="2"/>
        <v>0</v>
      </c>
      <c r="H19" s="48">
        <f>COUNTIFS('Self-Assessment_Cases'!$E$4:$E$657,"AU-10",'Self-Assessment_Cases'!$I4:$I657,"In Progress - Installation/Upgrade")</f>
        <v>0</v>
      </c>
      <c r="I19" s="66">
        <f t="shared" si="3"/>
        <v>0</v>
      </c>
      <c r="J19" s="49">
        <f>COUNTIFS('Self-Assessment_Cases'!$E$4:$E$657,"AU-10",'Self-Assessment_Cases'!$I4:$I657,"Not Implemented - Compensating Control")</f>
        <v>0</v>
      </c>
      <c r="K19" s="67">
        <f t="shared" si="4"/>
        <v>0</v>
      </c>
      <c r="L19" s="50">
        <f>COUNTIFS('Self-Assessment_Cases'!$E$4:$E$657,"AU-10",'Self-Assessment_Cases'!$I4:$I657,"Not Implemented - Risk Negligible")</f>
        <v>0</v>
      </c>
      <c r="M19" s="56">
        <f t="shared" si="5"/>
        <v>0</v>
      </c>
      <c r="N19" s="57">
        <f>COUNTIFS('Self-Assessment_Cases'!$E$4:$E$657,"AU-10",'Self-Assessment_Cases'!$I4:$I657,"Not Implemented - Risk Accepted")</f>
        <v>0</v>
      </c>
      <c r="O19" s="57">
        <f t="shared" si="6"/>
        <v>0</v>
      </c>
      <c r="P19" s="58">
        <f>COUNTIFS('Self-Assessment_Cases'!$E$4:$E$657,"AU-10",'Self-Assessment_Cases'!$I4:$I657,"Not Implemented - Planned")</f>
        <v>0</v>
      </c>
      <c r="Q19" s="58">
        <f t="shared" si="7"/>
        <v>0</v>
      </c>
      <c r="R19" s="59">
        <f>COUNTIFS('Self-Assessment_Cases'!$E$4:$E$657,"AU-10",'Self-Assessment_Cases'!$I4:$I657,"Not Implemented - Unplanned")</f>
        <v>0</v>
      </c>
      <c r="S19" s="59">
        <f t="shared" si="8"/>
        <v>0</v>
      </c>
      <c r="T19" s="60">
        <f>COUNTIFS('Self-Assessment_Cases'!$E$4:$E$657,"AU-10",'Self-Assessment_Cases'!$I4:$I657,"Not Applicable")</f>
        <v>0</v>
      </c>
      <c r="U19" s="61"/>
      <c r="V19" s="68" t="e">
        <f t="shared" si="9"/>
        <v>#DIV/0!</v>
      </c>
      <c r="W19" s="44">
        <f t="shared" si="10"/>
        <v>0</v>
      </c>
    </row>
    <row r="20" spans="1:23" ht="15" customHeight="1" x14ac:dyDescent="0.2">
      <c r="A20" s="45" t="s">
        <v>45</v>
      </c>
      <c r="B20" s="46">
        <f>COUNTIFS('Self-Assessment_Cases'!$E$4:$E$657,"AU-11",'Self-Assessment_Cases'!$I4:$I657,"Implemented")</f>
        <v>0</v>
      </c>
      <c r="C20" s="63">
        <f t="shared" si="0"/>
        <v>0</v>
      </c>
      <c r="D20" s="47">
        <f>COUNTIFS('Self-Assessment_Cases'!$E$4:$E$657,"AU-11",'Self-Assessment_Cases'!$I4:$I657,"In Progress - Administrative")</f>
        <v>0</v>
      </c>
      <c r="E20" s="64">
        <f t="shared" si="1"/>
        <v>0</v>
      </c>
      <c r="F20" s="62">
        <f>COUNTIFS('Self-Assessment_Cases'!$E$4:$E$657,"AU-11",'Self-Assessment_Cases'!$I4:$I657,"In Progress - Configuration")</f>
        <v>0</v>
      </c>
      <c r="G20" s="65">
        <f t="shared" si="2"/>
        <v>0</v>
      </c>
      <c r="H20" s="48">
        <f>COUNTIFS('Self-Assessment_Cases'!$E$4:$E$657,"AU-11",'Self-Assessment_Cases'!$I4:$I657,"In Progress - Installation/Upgrade")</f>
        <v>0</v>
      </c>
      <c r="I20" s="66">
        <f t="shared" si="3"/>
        <v>0</v>
      </c>
      <c r="J20" s="49">
        <f>COUNTIFS('Self-Assessment_Cases'!$E$4:$E$657,"AU-11",'Self-Assessment_Cases'!$I4:$I657,"Not Implemented - Compensating Control")</f>
        <v>0</v>
      </c>
      <c r="K20" s="67">
        <f t="shared" si="4"/>
        <v>0</v>
      </c>
      <c r="L20" s="50">
        <f>COUNTIFS('Self-Assessment_Cases'!$E$4:$E$657,"AU-11",'Self-Assessment_Cases'!$I4:$I657,"Not Implemented - Risk Negligible")</f>
        <v>0</v>
      </c>
      <c r="M20" s="56">
        <f t="shared" si="5"/>
        <v>0</v>
      </c>
      <c r="N20" s="57">
        <f>COUNTIFS('Self-Assessment_Cases'!$E$4:$E$657,"AU-11",'Self-Assessment_Cases'!$I4:$I657,"Not Implemented - Risk Accepted")</f>
        <v>0</v>
      </c>
      <c r="O20" s="57">
        <f t="shared" si="6"/>
        <v>0</v>
      </c>
      <c r="P20" s="58">
        <f>COUNTIFS('Self-Assessment_Cases'!$E$4:$E$657,"AU-11",'Self-Assessment_Cases'!$I4:$I657,"Not Implemented - Planned")</f>
        <v>0</v>
      </c>
      <c r="Q20" s="58">
        <f t="shared" si="7"/>
        <v>0</v>
      </c>
      <c r="R20" s="59">
        <f>COUNTIFS('Self-Assessment_Cases'!$E$4:$E$657,"AU-11",'Self-Assessment_Cases'!$I4:$I657,"Not Implemented - Unplanned")</f>
        <v>0</v>
      </c>
      <c r="S20" s="59">
        <f t="shared" si="8"/>
        <v>0</v>
      </c>
      <c r="T20" s="60">
        <f>COUNTIFS('Self-Assessment_Cases'!$E$4:$E$657,"AU-11",'Self-Assessment_Cases'!$I4:$I657,"Not Applicable")</f>
        <v>0</v>
      </c>
      <c r="U20" s="61"/>
      <c r="V20" s="68" t="e">
        <f t="shared" si="9"/>
        <v>#DIV/0!</v>
      </c>
      <c r="W20" s="44">
        <f t="shared" si="10"/>
        <v>0</v>
      </c>
    </row>
    <row r="21" spans="1:23" ht="15" customHeight="1" x14ac:dyDescent="0.2">
      <c r="A21" s="45" t="s">
        <v>47</v>
      </c>
      <c r="B21" s="46">
        <f>COUNTIFS('Self-Assessment_Cases'!$E$4:$E$657,"AU-12",'Self-Assessment_Cases'!$I4:$I657,"Implemented")</f>
        <v>0</v>
      </c>
      <c r="C21" s="63">
        <f t="shared" si="0"/>
        <v>0</v>
      </c>
      <c r="D21" s="47">
        <f>COUNTIFS('Self-Assessment_Cases'!$E$4:$E$657,"AU-12",'Self-Assessment_Cases'!$I4:$I657,"In Progress - Administrative")</f>
        <v>0</v>
      </c>
      <c r="E21" s="64">
        <f t="shared" si="1"/>
        <v>0</v>
      </c>
      <c r="F21" s="62">
        <f>COUNTIFS('Self-Assessment_Cases'!$E$4:$E$657,"AU-12",'Self-Assessment_Cases'!$I4:$I657,"In Progress - Configuration")</f>
        <v>0</v>
      </c>
      <c r="G21" s="65">
        <f t="shared" si="2"/>
        <v>0</v>
      </c>
      <c r="H21" s="48">
        <f>COUNTIFS('Self-Assessment_Cases'!$E$4:$E$657,"AU-12",'Self-Assessment_Cases'!$I4:$I657,"In Progress - Installation/Upgrade")</f>
        <v>0</v>
      </c>
      <c r="I21" s="66">
        <f t="shared" si="3"/>
        <v>0</v>
      </c>
      <c r="J21" s="49">
        <f>COUNTIFS('Self-Assessment_Cases'!$E$4:$E$657,"AU-12",'Self-Assessment_Cases'!$I4:$I657,"Not Implemented - Compensating Control")</f>
        <v>0</v>
      </c>
      <c r="K21" s="67">
        <f t="shared" si="4"/>
        <v>0</v>
      </c>
      <c r="L21" s="50">
        <f>COUNTIFS('Self-Assessment_Cases'!$E$4:$E$657,"AU-12",'Self-Assessment_Cases'!$I4:$I657,"Not Implemented - Risk Negligible")</f>
        <v>0</v>
      </c>
      <c r="M21" s="56">
        <f t="shared" si="5"/>
        <v>0</v>
      </c>
      <c r="N21" s="57">
        <f>COUNTIFS('Self-Assessment_Cases'!$E$4:$E$657,"AU-12",'Self-Assessment_Cases'!$I4:$I657,"Not Implemented - Risk Accepted")</f>
        <v>0</v>
      </c>
      <c r="O21" s="57">
        <f t="shared" si="6"/>
        <v>0</v>
      </c>
      <c r="P21" s="58">
        <f>COUNTIFS('Self-Assessment_Cases'!$E$4:$E$657,"AU-12",'Self-Assessment_Cases'!$I4:$I657,"Not Implemented - Planned")</f>
        <v>0</v>
      </c>
      <c r="Q21" s="58">
        <f t="shared" si="7"/>
        <v>0</v>
      </c>
      <c r="R21" s="59">
        <f>COUNTIFS('Self-Assessment_Cases'!$E$4:$E$657,"AU-12",'Self-Assessment_Cases'!$I4:$I657,"Not Implemented - Unplanned")</f>
        <v>0</v>
      </c>
      <c r="S21" s="59">
        <f t="shared" si="8"/>
        <v>0</v>
      </c>
      <c r="T21" s="60">
        <f>COUNTIFS('Self-Assessment_Cases'!$E$4:$E$657,"AU-12",'Self-Assessment_Cases'!$I4:$I657,"Not Applicable")</f>
        <v>0</v>
      </c>
      <c r="U21" s="61"/>
      <c r="V21" s="68" t="e">
        <f t="shared" si="9"/>
        <v>#DIV/0!</v>
      </c>
      <c r="W21" s="44">
        <f t="shared" si="10"/>
        <v>0</v>
      </c>
    </row>
    <row r="22" spans="1:23" ht="15" customHeight="1" x14ac:dyDescent="0.2">
      <c r="A22" s="45" t="s">
        <v>29</v>
      </c>
      <c r="B22" s="46">
        <f>COUNTIFS('Self-Assessment_Cases'!$E$4:$E$657,"AU-2",'Self-Assessment_Cases'!$I4:$I657,"Implemented")</f>
        <v>0</v>
      </c>
      <c r="C22" s="63">
        <f t="shared" si="0"/>
        <v>0</v>
      </c>
      <c r="D22" s="47">
        <f>COUNTIFS('Self-Assessment_Cases'!$E$4:$E$657,"AU-2",'Self-Assessment_Cases'!$I4:$I657,"In Progress - Administrative")</f>
        <v>0</v>
      </c>
      <c r="E22" s="64">
        <f t="shared" si="1"/>
        <v>0</v>
      </c>
      <c r="F22" s="62">
        <f>COUNTIFS('Self-Assessment_Cases'!$E$4:$E$657,"AU-2",'Self-Assessment_Cases'!$I4:$I657,"In Progress - Configuration")</f>
        <v>0</v>
      </c>
      <c r="G22" s="65">
        <f t="shared" si="2"/>
        <v>0</v>
      </c>
      <c r="H22" s="48">
        <f>COUNTIFS('Self-Assessment_Cases'!$E$4:$E$657,"AU-2",'Self-Assessment_Cases'!$I4:$I657,"In Progress - Installation/Upgrade")</f>
        <v>0</v>
      </c>
      <c r="I22" s="66">
        <f t="shared" si="3"/>
        <v>0</v>
      </c>
      <c r="J22" s="49">
        <f>COUNTIFS('Self-Assessment_Cases'!$E$4:$E$657,"AU-2",'Self-Assessment_Cases'!$I4:$I657,"Not Implemented - Compensating Control")</f>
        <v>0</v>
      </c>
      <c r="K22" s="67">
        <f t="shared" si="4"/>
        <v>0</v>
      </c>
      <c r="L22" s="50">
        <f>COUNTIFS('Self-Assessment_Cases'!$E$4:$E$657,"AU-2",'Self-Assessment_Cases'!$I4:$I657,"Not Implemented - Risk Negligible")</f>
        <v>0</v>
      </c>
      <c r="M22" s="56">
        <f t="shared" si="5"/>
        <v>0</v>
      </c>
      <c r="N22" s="57">
        <f>COUNTIFS('Self-Assessment_Cases'!$E$4:$E$657,"AU-2",'Self-Assessment_Cases'!$I4:$I657,"Not Implemented - Risk Accepted")</f>
        <v>0</v>
      </c>
      <c r="O22" s="57">
        <f t="shared" si="6"/>
        <v>0</v>
      </c>
      <c r="P22" s="58">
        <f>COUNTIFS('Self-Assessment_Cases'!$E$4:$E$657,"AU-2",'Self-Assessment_Cases'!$I4:$I657,"Not Implemented - Planned")</f>
        <v>0</v>
      </c>
      <c r="Q22" s="58">
        <f t="shared" si="7"/>
        <v>0</v>
      </c>
      <c r="R22" s="59">
        <f>COUNTIFS('Self-Assessment_Cases'!$E$4:$E$657,"AU-2",'Self-Assessment_Cases'!$I4:$I657,"Not Implemented - Unplanned")</f>
        <v>0</v>
      </c>
      <c r="S22" s="59">
        <f t="shared" si="8"/>
        <v>0</v>
      </c>
      <c r="T22" s="60">
        <f>COUNTIFS('Self-Assessment_Cases'!$E$4:$E$657,"AU-2",'Self-Assessment_Cases'!$I4:$I657,"Not Applicable")</f>
        <v>0</v>
      </c>
      <c r="U22" s="61"/>
      <c r="V22" s="68" t="e">
        <f t="shared" si="9"/>
        <v>#DIV/0!</v>
      </c>
      <c r="W22" s="44">
        <f t="shared" si="10"/>
        <v>0</v>
      </c>
    </row>
    <row r="23" spans="1:23" ht="15" customHeight="1" x14ac:dyDescent="0.2">
      <c r="A23" s="45" t="s">
        <v>31</v>
      </c>
      <c r="B23" s="46">
        <f>COUNTIFS('Self-Assessment_Cases'!$E$4:$E$657,"AU-3",'Self-Assessment_Cases'!$I4:$I657,"Implemented")</f>
        <v>0</v>
      </c>
      <c r="C23" s="63">
        <f t="shared" si="0"/>
        <v>0</v>
      </c>
      <c r="D23" s="47">
        <f>COUNTIFS('Self-Assessment_Cases'!$E$4:$E$657,"AU-3",'Self-Assessment_Cases'!$I4:$I657,"In Progress - Administrative")</f>
        <v>0</v>
      </c>
      <c r="E23" s="64">
        <f t="shared" si="1"/>
        <v>0</v>
      </c>
      <c r="F23" s="62">
        <f>COUNTIFS('Self-Assessment_Cases'!$E$4:$E$657,"AU-3",'Self-Assessment_Cases'!$I4:$I657,"In Progress - Configuration")</f>
        <v>0</v>
      </c>
      <c r="G23" s="65">
        <f t="shared" si="2"/>
        <v>0</v>
      </c>
      <c r="H23" s="48">
        <f>COUNTIFS('Self-Assessment_Cases'!$E$4:$E$657,"AU-3",'Self-Assessment_Cases'!$I4:$I657,"In Progress - Installation/Upgrade")</f>
        <v>0</v>
      </c>
      <c r="I23" s="66">
        <f t="shared" si="3"/>
        <v>0</v>
      </c>
      <c r="J23" s="49">
        <f>COUNTIFS('Self-Assessment_Cases'!$E$4:$E$657,"AU-3",'Self-Assessment_Cases'!$I4:$I657,"Not Implemented - Compensating Control")</f>
        <v>0</v>
      </c>
      <c r="K23" s="67">
        <f t="shared" si="4"/>
        <v>0</v>
      </c>
      <c r="L23" s="50">
        <f>COUNTIFS('Self-Assessment_Cases'!$E$4:$E$657,"AU-3",'Self-Assessment_Cases'!$I4:$I657,"Not Implemented - Risk Negligible")</f>
        <v>0</v>
      </c>
      <c r="M23" s="56">
        <f t="shared" si="5"/>
        <v>0</v>
      </c>
      <c r="N23" s="57">
        <f>COUNTIFS('Self-Assessment_Cases'!$E$4:$E$657,"AU-3",'Self-Assessment_Cases'!$I4:$I657,"Not Implemented - Risk Accepted")</f>
        <v>0</v>
      </c>
      <c r="O23" s="57">
        <f t="shared" si="6"/>
        <v>0</v>
      </c>
      <c r="P23" s="58">
        <f>COUNTIFS('Self-Assessment_Cases'!$E$4:$E$657,"AU-3",'Self-Assessment_Cases'!$I4:$I657,"Not Implemented - Planned")</f>
        <v>0</v>
      </c>
      <c r="Q23" s="58">
        <f t="shared" si="7"/>
        <v>0</v>
      </c>
      <c r="R23" s="59">
        <f>COUNTIFS('Self-Assessment_Cases'!$E$4:$E$657,"AU-3",'Self-Assessment_Cases'!$I4:$I657,"Not Implemented - Unplanned")</f>
        <v>0</v>
      </c>
      <c r="S23" s="59">
        <f t="shared" si="8"/>
        <v>0</v>
      </c>
      <c r="T23" s="60">
        <f>COUNTIFS('Self-Assessment_Cases'!$E$4:$E$657,"AU-3",'Self-Assessment_Cases'!$I4:$I657,"Not Applicable")</f>
        <v>0</v>
      </c>
      <c r="U23" s="61"/>
      <c r="V23" s="68" t="e">
        <f t="shared" si="9"/>
        <v>#DIV/0!</v>
      </c>
      <c r="W23" s="44">
        <f t="shared" si="10"/>
        <v>0</v>
      </c>
    </row>
    <row r="24" spans="1:23" ht="15" customHeight="1" x14ac:dyDescent="0.2">
      <c r="A24" s="45" t="s">
        <v>33</v>
      </c>
      <c r="B24" s="46">
        <f>COUNTIFS('Self-Assessment_Cases'!$E$4:$E$657,"AU-4",'Self-Assessment_Cases'!$I4:$I657,"Implemented")</f>
        <v>0</v>
      </c>
      <c r="C24" s="63">
        <f t="shared" si="0"/>
        <v>0</v>
      </c>
      <c r="D24" s="47">
        <f>COUNTIFS('Self-Assessment_Cases'!$E$4:$E$657,"AU-4",'Self-Assessment_Cases'!$I4:$I657,"In Progress - Administrative")</f>
        <v>0</v>
      </c>
      <c r="E24" s="64">
        <f t="shared" si="1"/>
        <v>0</v>
      </c>
      <c r="F24" s="62">
        <f>COUNTIFS('Self-Assessment_Cases'!$E$4:$E$657,"AU-4",'Self-Assessment_Cases'!$I4:$I657,"In Progress - Configuration")</f>
        <v>0</v>
      </c>
      <c r="G24" s="65">
        <f t="shared" si="2"/>
        <v>0</v>
      </c>
      <c r="H24" s="48">
        <f>COUNTIFS('Self-Assessment_Cases'!$E$4:$E$657,"AU-4",'Self-Assessment_Cases'!$I4:$I657,"In Progress - Installation/Upgrade")</f>
        <v>0</v>
      </c>
      <c r="I24" s="66">
        <f t="shared" si="3"/>
        <v>0</v>
      </c>
      <c r="J24" s="49">
        <f>COUNTIFS('Self-Assessment_Cases'!$E$4:$E$657,"AU-4",'Self-Assessment_Cases'!$I4:$I657,"Not Implemented - Compensating Control")</f>
        <v>0</v>
      </c>
      <c r="K24" s="67">
        <f t="shared" si="4"/>
        <v>0</v>
      </c>
      <c r="L24" s="50">
        <f>COUNTIFS('Self-Assessment_Cases'!$E$4:$E$657,"AU-4",'Self-Assessment_Cases'!$I4:$I657,"Not Implemented - Risk Negligible")</f>
        <v>0</v>
      </c>
      <c r="M24" s="56">
        <f t="shared" si="5"/>
        <v>0</v>
      </c>
      <c r="N24" s="57">
        <f>COUNTIFS('Self-Assessment_Cases'!$E$4:$E$657,"AU-4",'Self-Assessment_Cases'!$I4:$I657,"Not Implemented - Risk Accepted")</f>
        <v>0</v>
      </c>
      <c r="O24" s="57">
        <f t="shared" si="6"/>
        <v>0</v>
      </c>
      <c r="P24" s="58">
        <f>COUNTIFS('Self-Assessment_Cases'!$E$4:$E$657,"AU-4",'Self-Assessment_Cases'!$I4:$I657,"Not Implemented - Planned")</f>
        <v>0</v>
      </c>
      <c r="Q24" s="58">
        <f t="shared" si="7"/>
        <v>0</v>
      </c>
      <c r="R24" s="59">
        <f>COUNTIFS('Self-Assessment_Cases'!$E$4:$E$657,"AU-4",'Self-Assessment_Cases'!$I4:$I657,"Not Implemented - Unplanned")</f>
        <v>0</v>
      </c>
      <c r="S24" s="59">
        <f t="shared" si="8"/>
        <v>0</v>
      </c>
      <c r="T24" s="60">
        <f>COUNTIFS('Self-Assessment_Cases'!$E$4:$E$657,"AU-4",'Self-Assessment_Cases'!$I4:$I657,"Not Applicable")</f>
        <v>0</v>
      </c>
      <c r="U24" s="61"/>
      <c r="V24" s="68" t="e">
        <f t="shared" si="9"/>
        <v>#DIV/0!</v>
      </c>
      <c r="W24" s="44">
        <f t="shared" si="10"/>
        <v>0</v>
      </c>
    </row>
    <row r="25" spans="1:23" ht="15" customHeight="1" x14ac:dyDescent="0.2">
      <c r="A25" s="45" t="s">
        <v>35</v>
      </c>
      <c r="B25" s="46">
        <f>COUNTIFS('Self-Assessment_Cases'!$E$4:$E$657,"AU-5",'Self-Assessment_Cases'!$I4:$I657,"Implemented")</f>
        <v>0</v>
      </c>
      <c r="C25" s="63">
        <f t="shared" si="0"/>
        <v>0</v>
      </c>
      <c r="D25" s="47">
        <f>COUNTIFS('Self-Assessment_Cases'!$E$4:$E$657,"AU-5",'Self-Assessment_Cases'!$I4:$I657,"In Progress - Administrative")</f>
        <v>0</v>
      </c>
      <c r="E25" s="64">
        <f t="shared" si="1"/>
        <v>0</v>
      </c>
      <c r="F25" s="62">
        <f>COUNTIFS('Self-Assessment_Cases'!$E$4:$E$657,"AU-5",'Self-Assessment_Cases'!$I4:$I657,"In Progress - Configuration")</f>
        <v>0</v>
      </c>
      <c r="G25" s="65">
        <f t="shared" si="2"/>
        <v>0</v>
      </c>
      <c r="H25" s="48">
        <f>COUNTIFS('Self-Assessment_Cases'!$E$4:$E$657,"AU-5",'Self-Assessment_Cases'!$I4:$I657,"In Progress - Installation/Upgrade")</f>
        <v>0</v>
      </c>
      <c r="I25" s="66">
        <f t="shared" si="3"/>
        <v>0</v>
      </c>
      <c r="J25" s="49">
        <f>COUNTIFS('Self-Assessment_Cases'!$E$4:$E$657,"AU-5",'Self-Assessment_Cases'!$I4:$I657,"Not Implemented - Compensating Control")</f>
        <v>0</v>
      </c>
      <c r="K25" s="67">
        <f t="shared" si="4"/>
        <v>0</v>
      </c>
      <c r="L25" s="50">
        <f>COUNTIFS('Self-Assessment_Cases'!$E$4:$E$657,"AU-5",'Self-Assessment_Cases'!$I4:$I657,"Not Implemented - Risk Negligible")</f>
        <v>0</v>
      </c>
      <c r="M25" s="56">
        <f t="shared" si="5"/>
        <v>0</v>
      </c>
      <c r="N25" s="57">
        <f>COUNTIFS('Self-Assessment_Cases'!$E$4:$E$657,"AU-5",'Self-Assessment_Cases'!$I4:$I657,"Not Implemented - Risk Accepted")</f>
        <v>0</v>
      </c>
      <c r="O25" s="57">
        <f t="shared" si="6"/>
        <v>0</v>
      </c>
      <c r="P25" s="58">
        <f>COUNTIFS('Self-Assessment_Cases'!$E$4:$E$657,"AU-5",'Self-Assessment_Cases'!$I4:$I657,"Not Implemented - Planned")</f>
        <v>0</v>
      </c>
      <c r="Q25" s="58">
        <f t="shared" si="7"/>
        <v>0</v>
      </c>
      <c r="R25" s="59">
        <f>COUNTIFS('Self-Assessment_Cases'!$E$4:$E$657,"AU-5",'Self-Assessment_Cases'!$I4:$I657,"Not Implemented - Unplanned")</f>
        <v>0</v>
      </c>
      <c r="S25" s="59">
        <f t="shared" si="8"/>
        <v>0</v>
      </c>
      <c r="T25" s="60">
        <f>COUNTIFS('Self-Assessment_Cases'!$E$4:$E$657,"AU-5",'Self-Assessment_Cases'!$I4:$I657,"Not Applicable")</f>
        <v>0</v>
      </c>
      <c r="U25" s="61"/>
      <c r="V25" s="68" t="e">
        <f t="shared" si="9"/>
        <v>#DIV/0!</v>
      </c>
      <c r="W25" s="44">
        <f t="shared" si="10"/>
        <v>0</v>
      </c>
    </row>
    <row r="26" spans="1:23" ht="15" customHeight="1" x14ac:dyDescent="0.2">
      <c r="A26" s="45" t="s">
        <v>37</v>
      </c>
      <c r="B26" s="46">
        <f>COUNTIFS('Self-Assessment_Cases'!$E$4:$E$657,"AU-6",'Self-Assessment_Cases'!$I4:$I657,"Implemented")</f>
        <v>0</v>
      </c>
      <c r="C26" s="63">
        <f t="shared" si="0"/>
        <v>0</v>
      </c>
      <c r="D26" s="47">
        <f>COUNTIFS('Self-Assessment_Cases'!$E$4:$E$657,"AU-6",'Self-Assessment_Cases'!$I4:$I657,"In Progress - Administrative")</f>
        <v>0</v>
      </c>
      <c r="E26" s="64">
        <f t="shared" si="1"/>
        <v>0</v>
      </c>
      <c r="F26" s="62">
        <f>COUNTIFS('Self-Assessment_Cases'!$E$4:$E$657,"AU-6",'Self-Assessment_Cases'!$I4:$I657,"In Progress - Configuration")</f>
        <v>0</v>
      </c>
      <c r="G26" s="65">
        <f t="shared" si="2"/>
        <v>0</v>
      </c>
      <c r="H26" s="48">
        <f>COUNTIFS('Self-Assessment_Cases'!$E$4:$E$657,"AU-6",'Self-Assessment_Cases'!$I4:$I657,"In Progress - Installation/Upgrade")</f>
        <v>0</v>
      </c>
      <c r="I26" s="66">
        <f t="shared" si="3"/>
        <v>0</v>
      </c>
      <c r="J26" s="49">
        <f>COUNTIFS('Self-Assessment_Cases'!$E$4:$E$657,"AU-6",'Self-Assessment_Cases'!$I4:$I657,"Not Implemented - Compensating Control")</f>
        <v>0</v>
      </c>
      <c r="K26" s="67">
        <f t="shared" si="4"/>
        <v>0</v>
      </c>
      <c r="L26" s="50">
        <f>COUNTIFS('Self-Assessment_Cases'!$E$4:$E$657,"AU-6",'Self-Assessment_Cases'!$I4:$I657,"Not Implemented - Risk Negligible")</f>
        <v>0</v>
      </c>
      <c r="M26" s="56">
        <f t="shared" si="5"/>
        <v>0</v>
      </c>
      <c r="N26" s="57">
        <f>COUNTIFS('Self-Assessment_Cases'!$E$4:$E$657,"AU-6",'Self-Assessment_Cases'!$I4:$I657,"Not Implemented - Risk Accepted")</f>
        <v>0</v>
      </c>
      <c r="O26" s="57">
        <f t="shared" si="6"/>
        <v>0</v>
      </c>
      <c r="P26" s="58">
        <f>COUNTIFS('Self-Assessment_Cases'!$E$4:$E$657,"AU-6",'Self-Assessment_Cases'!$I4:$I657,"Not Implemented - Planned")</f>
        <v>0</v>
      </c>
      <c r="Q26" s="58">
        <f t="shared" si="7"/>
        <v>0</v>
      </c>
      <c r="R26" s="59">
        <f>COUNTIFS('Self-Assessment_Cases'!$E$4:$E$657,"AU-6",'Self-Assessment_Cases'!$I4:$I657,"Not Implemented - Unplanned")</f>
        <v>0</v>
      </c>
      <c r="S26" s="59">
        <f t="shared" si="8"/>
        <v>0</v>
      </c>
      <c r="T26" s="60">
        <f>COUNTIFS('Self-Assessment_Cases'!$E$4:$E$657,"AU-6",'Self-Assessment_Cases'!$I4:$I657,"Not Applicable")</f>
        <v>0</v>
      </c>
      <c r="U26" s="61"/>
      <c r="V26" s="68" t="e">
        <f t="shared" si="9"/>
        <v>#DIV/0!</v>
      </c>
      <c r="W26" s="44">
        <f t="shared" si="10"/>
        <v>0</v>
      </c>
    </row>
    <row r="27" spans="1:23" ht="15" customHeight="1" x14ac:dyDescent="0.2">
      <c r="A27" s="45" t="s">
        <v>39</v>
      </c>
      <c r="B27" s="46">
        <f>COUNTIFS('Self-Assessment_Cases'!$E$4:$E$657,"AU-7",'Self-Assessment_Cases'!$I4:$I657,"Implemented")</f>
        <v>0</v>
      </c>
      <c r="C27" s="63">
        <f t="shared" si="0"/>
        <v>0</v>
      </c>
      <c r="D27" s="47">
        <f>COUNTIFS('Self-Assessment_Cases'!$E$4:$E$657,"AU-7",'Self-Assessment_Cases'!$I4:$I657,"In Progress - Administrative")</f>
        <v>0</v>
      </c>
      <c r="E27" s="64">
        <f t="shared" si="1"/>
        <v>0</v>
      </c>
      <c r="F27" s="62">
        <f>COUNTIFS('Self-Assessment_Cases'!$E$4:$E$657,"AU-7",'Self-Assessment_Cases'!$I4:$I657,"In Progress - Configuration")</f>
        <v>0</v>
      </c>
      <c r="G27" s="65">
        <f t="shared" si="2"/>
        <v>0</v>
      </c>
      <c r="H27" s="48">
        <f>COUNTIFS('Self-Assessment_Cases'!$E$4:$E$657,"AU-7",'Self-Assessment_Cases'!$I4:$I657,"In Progress - Installation/Upgrade")</f>
        <v>0</v>
      </c>
      <c r="I27" s="66">
        <f t="shared" si="3"/>
        <v>0</v>
      </c>
      <c r="J27" s="49">
        <f>COUNTIFS('Self-Assessment_Cases'!$E$4:$E$657,"AU-7",'Self-Assessment_Cases'!$I4:$I657,"Not Implemented - Compensating Control")</f>
        <v>0</v>
      </c>
      <c r="K27" s="67">
        <f t="shared" si="4"/>
        <v>0</v>
      </c>
      <c r="L27" s="50">
        <f>COUNTIFS('Self-Assessment_Cases'!$E$4:$E$657,"AU-7",'Self-Assessment_Cases'!$I4:$I657,"Not Implemented - Risk Negligible")</f>
        <v>0</v>
      </c>
      <c r="M27" s="56">
        <f t="shared" si="5"/>
        <v>0</v>
      </c>
      <c r="N27" s="57">
        <f>COUNTIFS('Self-Assessment_Cases'!$E$4:$E$657,"AU-7",'Self-Assessment_Cases'!$I4:$I657,"Not Implemented - Risk Accepted")</f>
        <v>0</v>
      </c>
      <c r="O27" s="57">
        <f t="shared" si="6"/>
        <v>0</v>
      </c>
      <c r="P27" s="58">
        <f>COUNTIFS('Self-Assessment_Cases'!$E$4:$E$657,"AU-7",'Self-Assessment_Cases'!$I4:$I657,"Not Implemented - Planned")</f>
        <v>0</v>
      </c>
      <c r="Q27" s="58">
        <f t="shared" si="7"/>
        <v>0</v>
      </c>
      <c r="R27" s="59">
        <f>COUNTIFS('Self-Assessment_Cases'!$E$4:$E$657,"AU-7",'Self-Assessment_Cases'!$I4:$I657,"Not Implemented - Unplanned")</f>
        <v>0</v>
      </c>
      <c r="S27" s="59">
        <f t="shared" si="8"/>
        <v>0</v>
      </c>
      <c r="T27" s="60">
        <f>COUNTIFS('Self-Assessment_Cases'!$E$4:$E$657,"AU-7",'Self-Assessment_Cases'!$I4:$I657,"Not Applicable")</f>
        <v>0</v>
      </c>
      <c r="U27" s="61"/>
      <c r="V27" s="68" t="e">
        <f t="shared" si="9"/>
        <v>#DIV/0!</v>
      </c>
      <c r="W27" s="44">
        <f t="shared" si="10"/>
        <v>0</v>
      </c>
    </row>
    <row r="28" spans="1:23" ht="15" customHeight="1" x14ac:dyDescent="0.2">
      <c r="A28" s="45" t="s">
        <v>41</v>
      </c>
      <c r="B28" s="46">
        <f>COUNTIFS('Self-Assessment_Cases'!$E$4:$E$657,"AU-8",'Self-Assessment_Cases'!$I4:$I657,"Implemented")</f>
        <v>0</v>
      </c>
      <c r="C28" s="63">
        <f t="shared" si="0"/>
        <v>0</v>
      </c>
      <c r="D28" s="47">
        <f>COUNTIFS('Self-Assessment_Cases'!$E$4:$E$657,"AU-8",'Self-Assessment_Cases'!$I4:$I657,"In Progress - Administrative")</f>
        <v>0</v>
      </c>
      <c r="E28" s="64">
        <f t="shared" si="1"/>
        <v>0</v>
      </c>
      <c r="F28" s="62">
        <f>COUNTIFS('Self-Assessment_Cases'!$E$4:$E$657,"AU-8",'Self-Assessment_Cases'!$I4:$I657,"In Progress - Configuration")</f>
        <v>0</v>
      </c>
      <c r="G28" s="65">
        <f t="shared" si="2"/>
        <v>0</v>
      </c>
      <c r="H28" s="48">
        <f>COUNTIFS('Self-Assessment_Cases'!$E$4:$E$657,"AU-8",'Self-Assessment_Cases'!$I4:$I657,"In Progress - Installation/Upgrade")</f>
        <v>0</v>
      </c>
      <c r="I28" s="66">
        <f t="shared" si="3"/>
        <v>0</v>
      </c>
      <c r="J28" s="49">
        <f>COUNTIFS('Self-Assessment_Cases'!$E$4:$E$657,"AU-8",'Self-Assessment_Cases'!$I4:$I657,"Not Implemented - Compensating Control")</f>
        <v>0</v>
      </c>
      <c r="K28" s="67">
        <f t="shared" si="4"/>
        <v>0</v>
      </c>
      <c r="L28" s="50">
        <f>COUNTIFS('Self-Assessment_Cases'!$E$4:$E$657,"AU-8",'Self-Assessment_Cases'!$I4:$I657,"Not Implemented - Risk Negligible")</f>
        <v>0</v>
      </c>
      <c r="M28" s="56">
        <f t="shared" si="5"/>
        <v>0</v>
      </c>
      <c r="N28" s="57">
        <f>COUNTIFS('Self-Assessment_Cases'!$E$4:$E$657,"AU-8",'Self-Assessment_Cases'!$I4:$I657,"Not Implemented - Risk Accepted")</f>
        <v>0</v>
      </c>
      <c r="O28" s="57">
        <f t="shared" si="6"/>
        <v>0</v>
      </c>
      <c r="P28" s="58">
        <f>COUNTIFS('Self-Assessment_Cases'!$E$4:$E$657,"AU-8",'Self-Assessment_Cases'!$I4:$I657,"Not Implemented - Planned")</f>
        <v>0</v>
      </c>
      <c r="Q28" s="58">
        <f t="shared" si="7"/>
        <v>0</v>
      </c>
      <c r="R28" s="59">
        <f>COUNTIFS('Self-Assessment_Cases'!$E$4:$E$657,"AU-8",'Self-Assessment_Cases'!$I4:$I657,"Not Implemented - Unplanned")</f>
        <v>0</v>
      </c>
      <c r="S28" s="59">
        <f t="shared" si="8"/>
        <v>0</v>
      </c>
      <c r="T28" s="60">
        <f>COUNTIFS('Self-Assessment_Cases'!$E$4:$E$657,"AU-8",'Self-Assessment_Cases'!$I4:$I657,"Not Applicable")</f>
        <v>0</v>
      </c>
      <c r="U28" s="61"/>
      <c r="V28" s="68" t="e">
        <f t="shared" si="9"/>
        <v>#DIV/0!</v>
      </c>
      <c r="W28" s="44">
        <f t="shared" si="10"/>
        <v>0</v>
      </c>
    </row>
    <row r="29" spans="1:23" ht="15" customHeight="1" x14ac:dyDescent="0.2">
      <c r="A29" s="45" t="s">
        <v>43</v>
      </c>
      <c r="B29" s="46">
        <f>COUNTIFS('Self-Assessment_Cases'!$E$4:$E$657,"AU-9",'Self-Assessment_Cases'!$I4:$I657,"Implemented")</f>
        <v>0</v>
      </c>
      <c r="C29" s="63">
        <f t="shared" si="0"/>
        <v>0</v>
      </c>
      <c r="D29" s="47">
        <f>COUNTIFS('Self-Assessment_Cases'!$E$4:$E$657,"AU-9",'Self-Assessment_Cases'!$I4:$I657,"In Progress - Administrative")</f>
        <v>0</v>
      </c>
      <c r="E29" s="64">
        <f t="shared" si="1"/>
        <v>0</v>
      </c>
      <c r="F29" s="62">
        <f>COUNTIFS('Self-Assessment_Cases'!$E$4:$E$657,"AU-9",'Self-Assessment_Cases'!$I4:$I657,"In Progress - Configuration")</f>
        <v>0</v>
      </c>
      <c r="G29" s="65">
        <f t="shared" si="2"/>
        <v>0</v>
      </c>
      <c r="H29" s="48">
        <f>COUNTIFS('Self-Assessment_Cases'!$E$4:$E$657,"AU-9",'Self-Assessment_Cases'!$I4:$I657,"In Progress - Installation/Upgrade")</f>
        <v>0</v>
      </c>
      <c r="I29" s="66">
        <f t="shared" si="3"/>
        <v>0</v>
      </c>
      <c r="J29" s="49">
        <f>COUNTIFS('Self-Assessment_Cases'!$E$4:$E$657,"AU-9",'Self-Assessment_Cases'!$I4:$I657,"Not Implemented - Compensating Control")</f>
        <v>0</v>
      </c>
      <c r="K29" s="67">
        <f t="shared" si="4"/>
        <v>0</v>
      </c>
      <c r="L29" s="50">
        <f>COUNTIFS('Self-Assessment_Cases'!$E$4:$E$657,"AU-9",'Self-Assessment_Cases'!$I4:$I657,"Not Implemented - Risk Negligible")</f>
        <v>0</v>
      </c>
      <c r="M29" s="56">
        <f t="shared" si="5"/>
        <v>0</v>
      </c>
      <c r="N29" s="57">
        <f>COUNTIFS('Self-Assessment_Cases'!$E$4:$E$657,"AU-9",'Self-Assessment_Cases'!$I4:$I657,"Not Implemented - Risk Accepted")</f>
        <v>0</v>
      </c>
      <c r="O29" s="57">
        <f t="shared" si="6"/>
        <v>0</v>
      </c>
      <c r="P29" s="58">
        <f>COUNTIFS('Self-Assessment_Cases'!$E$4:$E$657,"AU-9",'Self-Assessment_Cases'!$I4:$I657,"Not Implemented - Planned")</f>
        <v>0</v>
      </c>
      <c r="Q29" s="58">
        <f t="shared" si="7"/>
        <v>0</v>
      </c>
      <c r="R29" s="59">
        <f>COUNTIFS('Self-Assessment_Cases'!$E$4:$E$657,"AU-9",'Self-Assessment_Cases'!$I4:$I657,"Not Implemented - Unplanned")</f>
        <v>0</v>
      </c>
      <c r="S29" s="59">
        <f t="shared" si="8"/>
        <v>0</v>
      </c>
      <c r="T29" s="60">
        <f>COUNTIFS('Self-Assessment_Cases'!$E$4:$E$657,"AU-9",'Self-Assessment_Cases'!$I4:$I657,"Not Applicable")</f>
        <v>0</v>
      </c>
      <c r="U29" s="61"/>
      <c r="V29" s="68" t="e">
        <f t="shared" si="9"/>
        <v>#DIV/0!</v>
      </c>
      <c r="W29" s="44">
        <f t="shared" si="10"/>
        <v>0</v>
      </c>
    </row>
    <row r="30" spans="1:23" ht="15" customHeight="1" x14ac:dyDescent="0.2">
      <c r="A30" s="45" t="s">
        <v>49</v>
      </c>
      <c r="B30" s="46">
        <f>COUNTIFS('Self-Assessment_Cases'!$E$4:$E$657,"CA-1",'Self-Assessment_Cases'!$I4:$I657,"Implemented")</f>
        <v>0</v>
      </c>
      <c r="C30" s="63">
        <f t="shared" si="0"/>
        <v>0</v>
      </c>
      <c r="D30" s="47">
        <f>COUNTIFS('Self-Assessment_Cases'!$E$4:$E$657,"CA-1",'Self-Assessment_Cases'!$I4:$I657,"In Progress - Administrative")</f>
        <v>0</v>
      </c>
      <c r="E30" s="64">
        <f t="shared" si="1"/>
        <v>0</v>
      </c>
      <c r="F30" s="62">
        <f>COUNTIFS('Self-Assessment_Cases'!$E$4:$E$657,"CA-1",'Self-Assessment_Cases'!$I4:$I657,"In Progress - Configuration")</f>
        <v>0</v>
      </c>
      <c r="G30" s="65">
        <f t="shared" si="2"/>
        <v>0</v>
      </c>
      <c r="H30" s="48">
        <f>COUNTIFS('Self-Assessment_Cases'!$E$4:$E$657,"CA-1",'Self-Assessment_Cases'!$I4:$I657,"In Progress - Installation/Upgrade")</f>
        <v>0</v>
      </c>
      <c r="I30" s="66">
        <f t="shared" si="3"/>
        <v>0</v>
      </c>
      <c r="J30" s="49">
        <f>COUNTIFS('Self-Assessment_Cases'!$E$4:$E$657,"CA-1",'Self-Assessment_Cases'!$I4:$I657,"Not Implemented - Compensating Control")</f>
        <v>0</v>
      </c>
      <c r="K30" s="67">
        <f t="shared" si="4"/>
        <v>0</v>
      </c>
      <c r="L30" s="50">
        <f>COUNTIFS('Self-Assessment_Cases'!$E$4:$E$657,"CA-1",'Self-Assessment_Cases'!$I4:$I657,"Not Implemented - Risk Negligible")</f>
        <v>0</v>
      </c>
      <c r="M30" s="56">
        <f t="shared" si="5"/>
        <v>0</v>
      </c>
      <c r="N30" s="57">
        <f>COUNTIFS('Self-Assessment_Cases'!$E$4:$E$657,"CA-1",'Self-Assessment_Cases'!$I4:$I657,"Not Implemented - Risk Accepted")</f>
        <v>0</v>
      </c>
      <c r="O30" s="57">
        <f t="shared" si="6"/>
        <v>0</v>
      </c>
      <c r="P30" s="58">
        <f>COUNTIFS('Self-Assessment_Cases'!$E$4:$E$657,"CA-1",'Self-Assessment_Cases'!$I4:$I657,"Not Implemented - Planned")</f>
        <v>0</v>
      </c>
      <c r="Q30" s="58">
        <f t="shared" si="7"/>
        <v>0</v>
      </c>
      <c r="R30" s="59">
        <f>COUNTIFS('Self-Assessment_Cases'!$E$4:$E$657,"CA-1",'Self-Assessment_Cases'!$I4:$I657,"Not Implemented - Unplanned")</f>
        <v>0</v>
      </c>
      <c r="S30" s="59">
        <f t="shared" si="8"/>
        <v>0</v>
      </c>
      <c r="T30" s="60">
        <f>COUNTIFS('Self-Assessment_Cases'!$E$4:$E$657,"CA-1",'Self-Assessment_Cases'!$I4:$I657,"Not Applicable")</f>
        <v>0</v>
      </c>
      <c r="U30" s="61"/>
      <c r="V30" s="68" t="e">
        <f t="shared" si="9"/>
        <v>#DIV/0!</v>
      </c>
      <c r="W30" s="44">
        <f t="shared" si="10"/>
        <v>0</v>
      </c>
    </row>
    <row r="31" spans="1:23" ht="15" customHeight="1" x14ac:dyDescent="0.2">
      <c r="A31" s="45" t="s">
        <v>51</v>
      </c>
      <c r="B31" s="46">
        <f>COUNTIFS('Self-Assessment_Cases'!$E$4:$E$657,"CA-2",'Self-Assessment_Cases'!$I4:$I657,"Implemented")</f>
        <v>0</v>
      </c>
      <c r="C31" s="63">
        <f t="shared" si="0"/>
        <v>0</v>
      </c>
      <c r="D31" s="47">
        <f>COUNTIFS('Self-Assessment_Cases'!$E$4:$E$657,"CA-2",'Self-Assessment_Cases'!$I4:$I657,"In Progress - Administrative")</f>
        <v>0</v>
      </c>
      <c r="E31" s="64">
        <f t="shared" si="1"/>
        <v>0</v>
      </c>
      <c r="F31" s="62">
        <f>COUNTIFS('Self-Assessment_Cases'!$E$4:$E$657,"CA-2",'Self-Assessment_Cases'!$I4:$I657,"In Progress - Configuration")</f>
        <v>0</v>
      </c>
      <c r="G31" s="65">
        <f t="shared" si="2"/>
        <v>0</v>
      </c>
      <c r="H31" s="48">
        <f>COUNTIFS('Self-Assessment_Cases'!$E$4:$E$657,"CA-2",'Self-Assessment_Cases'!$I4:$I657,"In Progress - Installation/Upgrade")</f>
        <v>0</v>
      </c>
      <c r="I31" s="66">
        <f t="shared" si="3"/>
        <v>0</v>
      </c>
      <c r="J31" s="49">
        <f>COUNTIFS('Self-Assessment_Cases'!$E$4:$E$657,"CA-2",'Self-Assessment_Cases'!$I4:$I657,"Not Implemented - Compensating Control")</f>
        <v>0</v>
      </c>
      <c r="K31" s="67">
        <f t="shared" si="4"/>
        <v>0</v>
      </c>
      <c r="L31" s="50">
        <f>COUNTIFS('Self-Assessment_Cases'!$E$4:$E$657,"CA-2",'Self-Assessment_Cases'!$I4:$I657,"Not Implemented - Risk Negligible")</f>
        <v>0</v>
      </c>
      <c r="M31" s="56">
        <f t="shared" si="5"/>
        <v>0</v>
      </c>
      <c r="N31" s="57">
        <f>COUNTIFS('Self-Assessment_Cases'!$E$4:$E$657,"CA-2",'Self-Assessment_Cases'!$I4:$I657,"Not Implemented - Risk Accepted")</f>
        <v>0</v>
      </c>
      <c r="O31" s="57">
        <f t="shared" si="6"/>
        <v>0</v>
      </c>
      <c r="P31" s="58">
        <f>COUNTIFS('Self-Assessment_Cases'!$E$4:$E$657,"CA-2",'Self-Assessment_Cases'!$I4:$I657,"Not Implemented - Planned")</f>
        <v>0</v>
      </c>
      <c r="Q31" s="58">
        <f t="shared" si="7"/>
        <v>0</v>
      </c>
      <c r="R31" s="59">
        <f>COUNTIFS('Self-Assessment_Cases'!$E$4:$E$657,"CA-2",'Self-Assessment_Cases'!$I4:$I657,"Not Implemented - Unplanned")</f>
        <v>0</v>
      </c>
      <c r="S31" s="59">
        <f t="shared" si="8"/>
        <v>0</v>
      </c>
      <c r="T31" s="60">
        <f>COUNTIFS('Self-Assessment_Cases'!$E$4:$E$657,"CA-2",'Self-Assessment_Cases'!$I4:$I657,"Not Applicable")</f>
        <v>0</v>
      </c>
      <c r="U31" s="61"/>
      <c r="V31" s="68" t="e">
        <f t="shared" si="9"/>
        <v>#DIV/0!</v>
      </c>
      <c r="W31" s="44">
        <f t="shared" si="10"/>
        <v>0</v>
      </c>
    </row>
    <row r="32" spans="1:23" ht="15" customHeight="1" x14ac:dyDescent="0.2">
      <c r="A32" s="45" t="s">
        <v>53</v>
      </c>
      <c r="B32" s="46">
        <f>COUNTIFS('Self-Assessment_Cases'!$E$4:$E$657,"CA-3",'Self-Assessment_Cases'!$I4:$I657,"Implemented")</f>
        <v>0</v>
      </c>
      <c r="C32" s="63">
        <f t="shared" si="0"/>
        <v>0</v>
      </c>
      <c r="D32" s="47">
        <f>COUNTIFS('Self-Assessment_Cases'!$E$4:$E$657,"CA-3",'Self-Assessment_Cases'!$I4:$I657,"In Progress - Administrative")</f>
        <v>0</v>
      </c>
      <c r="E32" s="64">
        <f t="shared" si="1"/>
        <v>0</v>
      </c>
      <c r="F32" s="62">
        <f>COUNTIFS('Self-Assessment_Cases'!$E$4:$E$657,"CA-3",'Self-Assessment_Cases'!$I4:$I657,"In Progress - Configuration")</f>
        <v>0</v>
      </c>
      <c r="G32" s="65">
        <f t="shared" si="2"/>
        <v>0</v>
      </c>
      <c r="H32" s="48">
        <f>COUNTIFS('Self-Assessment_Cases'!$E$4:$E$657,"CA-3",'Self-Assessment_Cases'!$I4:$I657,"In Progress - Installation/Upgrade")</f>
        <v>0</v>
      </c>
      <c r="I32" s="66">
        <f t="shared" si="3"/>
        <v>0</v>
      </c>
      <c r="J32" s="49">
        <f>COUNTIFS('Self-Assessment_Cases'!$E$4:$E$657,"CA-3",'Self-Assessment_Cases'!$I4:$I657,"Not Implemented - Compensating Control")</f>
        <v>0</v>
      </c>
      <c r="K32" s="67">
        <f t="shared" si="4"/>
        <v>0</v>
      </c>
      <c r="L32" s="50">
        <f>COUNTIFS('Self-Assessment_Cases'!$E$4:$E$657,"CA-3",'Self-Assessment_Cases'!$I4:$I657,"Not Implemented - Risk Negligible")</f>
        <v>0</v>
      </c>
      <c r="M32" s="56">
        <f t="shared" si="5"/>
        <v>0</v>
      </c>
      <c r="N32" s="57">
        <f>COUNTIFS('Self-Assessment_Cases'!$E$4:$E$657,"CA-3",'Self-Assessment_Cases'!$I4:$I657,"Not Implemented - Risk Accepted")</f>
        <v>0</v>
      </c>
      <c r="O32" s="57">
        <f t="shared" si="6"/>
        <v>0</v>
      </c>
      <c r="P32" s="58">
        <f>COUNTIFS('Self-Assessment_Cases'!$E$4:$E$657,"CA-3",'Self-Assessment_Cases'!$I4:$I657,"Not Implemented - Planned")</f>
        <v>0</v>
      </c>
      <c r="Q32" s="58">
        <f t="shared" si="7"/>
        <v>0</v>
      </c>
      <c r="R32" s="59">
        <f>COUNTIFS('Self-Assessment_Cases'!$E$4:$E$657,"CA-3",'Self-Assessment_Cases'!$I4:$I657,"Not Implemented - Unplanned")</f>
        <v>0</v>
      </c>
      <c r="S32" s="59">
        <f t="shared" si="8"/>
        <v>0</v>
      </c>
      <c r="T32" s="60">
        <f>COUNTIFS('Self-Assessment_Cases'!$E$4:$E$657,"CA-3",'Self-Assessment_Cases'!$I4:$I657,"Not Applicable")</f>
        <v>0</v>
      </c>
      <c r="U32" s="61"/>
      <c r="V32" s="68" t="e">
        <f t="shared" si="9"/>
        <v>#DIV/0!</v>
      </c>
      <c r="W32" s="44">
        <f t="shared" si="10"/>
        <v>0</v>
      </c>
    </row>
    <row r="33" spans="1:23" x14ac:dyDescent="0.2">
      <c r="A33" s="45" t="s">
        <v>751</v>
      </c>
      <c r="B33" s="46">
        <f>COUNTIFS('Self-Assessment_Cases'!$E$4:$E$657,"CA-5",'Self-Assessment_Cases'!$I4:$I657,"Implemented")</f>
        <v>0</v>
      </c>
      <c r="C33" s="63">
        <f t="shared" si="0"/>
        <v>0</v>
      </c>
      <c r="D33" s="47">
        <f>COUNTIFS('Self-Assessment_Cases'!$E$4:$E$657,"CA-5",'Self-Assessment_Cases'!$I4:$I657,"In Progress - Administrative")</f>
        <v>0</v>
      </c>
      <c r="E33" s="64">
        <f t="shared" si="1"/>
        <v>0</v>
      </c>
      <c r="F33" s="62">
        <f>COUNTIFS('Self-Assessment_Cases'!$E$4:$E$657,"CA-5",'Self-Assessment_Cases'!$I4:$I657,"In Progress - Configuration")</f>
        <v>0</v>
      </c>
      <c r="G33" s="65">
        <f t="shared" si="2"/>
        <v>0</v>
      </c>
      <c r="H33" s="48">
        <f>COUNTIFS('Self-Assessment_Cases'!$E$4:$E$657,"CA-5",'Self-Assessment_Cases'!$I4:$I657,"In Progress - Installation/Upgrade")</f>
        <v>0</v>
      </c>
      <c r="I33" s="66">
        <f t="shared" si="3"/>
        <v>0</v>
      </c>
      <c r="J33" s="49">
        <f>COUNTIFS('Self-Assessment_Cases'!$E$4:$E$657,"CA-5",'Self-Assessment_Cases'!$I4:$I657,"Not Implemented - Compensating Control")</f>
        <v>0</v>
      </c>
      <c r="K33" s="67">
        <f t="shared" si="4"/>
        <v>0</v>
      </c>
      <c r="L33" s="50">
        <f>COUNTIFS('Self-Assessment_Cases'!$E$4:$E$657,"CA-5",'Self-Assessment_Cases'!$I4:$I657,"Not Implemented - Risk Negligible")</f>
        <v>0</v>
      </c>
      <c r="M33" s="56">
        <f t="shared" si="5"/>
        <v>0</v>
      </c>
      <c r="N33" s="57">
        <f>COUNTIFS('Self-Assessment_Cases'!$E$4:$E$657,"CA-5",'Self-Assessment_Cases'!$I4:$I657,"Not Implemented - Risk Accepted")</f>
        <v>0</v>
      </c>
      <c r="O33" s="57">
        <f t="shared" si="6"/>
        <v>0</v>
      </c>
      <c r="P33" s="58">
        <f>COUNTIFS('Self-Assessment_Cases'!$E$4:$E$657,"CA-5",'Self-Assessment_Cases'!$I4:$I657,"Not Implemented - Planned")</f>
        <v>0</v>
      </c>
      <c r="Q33" s="58">
        <f t="shared" si="7"/>
        <v>0</v>
      </c>
      <c r="R33" s="59">
        <f>COUNTIFS('Self-Assessment_Cases'!$E$4:$E$657,"CA-5",'Self-Assessment_Cases'!$I4:$I657,"Not Implemented - Unplanned")</f>
        <v>0</v>
      </c>
      <c r="S33" s="59">
        <f t="shared" si="8"/>
        <v>0</v>
      </c>
      <c r="T33" s="60">
        <f>COUNTIFS('Self-Assessment_Cases'!$E$4:$E$657,"CA-5",'Self-Assessment_Cases'!$I4:$I657,"Not Applicable")</f>
        <v>0</v>
      </c>
      <c r="U33" s="61"/>
      <c r="V33" s="68" t="e">
        <f t="shared" si="9"/>
        <v>#DIV/0!</v>
      </c>
      <c r="W33" s="44">
        <f t="shared" si="10"/>
        <v>0</v>
      </c>
    </row>
    <row r="34" spans="1:23" ht="15" customHeight="1" x14ac:dyDescent="0.2">
      <c r="A34" s="45" t="s">
        <v>56</v>
      </c>
      <c r="B34" s="46">
        <f>COUNTIFS('Self-Assessment_Cases'!$E$4:$E$657,"CA-7",'Self-Assessment_Cases'!$I4:$I657,"Implemented")</f>
        <v>0</v>
      </c>
      <c r="C34" s="63">
        <f t="shared" si="0"/>
        <v>0</v>
      </c>
      <c r="D34" s="47">
        <f>COUNTIFS('Self-Assessment_Cases'!$E$4:$E$657,"CA-7",'Self-Assessment_Cases'!$I4:$I657,"In Progress - Administrative")</f>
        <v>0</v>
      </c>
      <c r="E34" s="64">
        <f t="shared" si="1"/>
        <v>0</v>
      </c>
      <c r="F34" s="62">
        <f>COUNTIFS('Self-Assessment_Cases'!$E$4:$E$657,"CA-7",'Self-Assessment_Cases'!$I4:$I657,"In Progress - Configuration")</f>
        <v>0</v>
      </c>
      <c r="G34" s="65">
        <f t="shared" si="2"/>
        <v>0</v>
      </c>
      <c r="H34" s="48">
        <f>COUNTIFS('Self-Assessment_Cases'!$E$4:$E$657,"CA-7",'Self-Assessment_Cases'!$I4:$I657,"In Progress - Installation/Upgrade")</f>
        <v>0</v>
      </c>
      <c r="I34" s="66">
        <f t="shared" si="3"/>
        <v>0</v>
      </c>
      <c r="J34" s="49">
        <f>COUNTIFS('Self-Assessment_Cases'!$E$4:$E$657,"CA-7",'Self-Assessment_Cases'!$I4:$I657,"Not Implemented - Compensating Control")</f>
        <v>0</v>
      </c>
      <c r="K34" s="67">
        <f t="shared" si="4"/>
        <v>0</v>
      </c>
      <c r="L34" s="50">
        <f>COUNTIFS('Self-Assessment_Cases'!$E$4:$E$657,"CA-7",'Self-Assessment_Cases'!$I4:$I657,"Not Implemented - Risk Negligible")</f>
        <v>0</v>
      </c>
      <c r="M34" s="56">
        <f t="shared" si="5"/>
        <v>0</v>
      </c>
      <c r="N34" s="57">
        <f>COUNTIFS('Self-Assessment_Cases'!$E$4:$E$657,"CA-7",'Self-Assessment_Cases'!$I4:$I657,"Not Implemented - Risk Accepted")</f>
        <v>0</v>
      </c>
      <c r="O34" s="57">
        <f t="shared" si="6"/>
        <v>0</v>
      </c>
      <c r="P34" s="58">
        <f>COUNTIFS('Self-Assessment_Cases'!$E$4:$E$657,"CA-7",'Self-Assessment_Cases'!$I4:$I657,"Not Implemented - Planned")</f>
        <v>0</v>
      </c>
      <c r="Q34" s="58">
        <f t="shared" si="7"/>
        <v>0</v>
      </c>
      <c r="R34" s="59">
        <f>COUNTIFS('Self-Assessment_Cases'!$E$4:$E$657,"CA-7",'Self-Assessment_Cases'!$I4:$I657,"Not Implemented - Unplanned")</f>
        <v>0</v>
      </c>
      <c r="S34" s="59">
        <f t="shared" si="8"/>
        <v>0</v>
      </c>
      <c r="T34" s="60">
        <f>COUNTIFS('Self-Assessment_Cases'!$E$4:$E$657,"CA-7",'Self-Assessment_Cases'!$I4:$I657,"Not Applicable")</f>
        <v>0</v>
      </c>
      <c r="U34" s="61"/>
      <c r="V34" s="68" t="e">
        <f t="shared" si="9"/>
        <v>#DIV/0!</v>
      </c>
      <c r="W34" s="44">
        <f t="shared" si="10"/>
        <v>0</v>
      </c>
    </row>
    <row r="35" spans="1:23" x14ac:dyDescent="0.2">
      <c r="A35" s="45" t="s">
        <v>222</v>
      </c>
      <c r="B35" s="46">
        <f>COUNTIFS('Self-Assessment_Cases'!$E$4:$E$657,"CA-8",'Self-Assessment_Cases'!$I4:$I657,"Implemented")</f>
        <v>0</v>
      </c>
      <c r="C35" s="63">
        <f t="shared" si="0"/>
        <v>0</v>
      </c>
      <c r="D35" s="47">
        <f>COUNTIFS('Self-Assessment_Cases'!$E$4:$E$657,"CA-8",'Self-Assessment_Cases'!$I4:$I657,"In Progress - Administrative")</f>
        <v>0</v>
      </c>
      <c r="E35" s="64">
        <f t="shared" si="1"/>
        <v>0</v>
      </c>
      <c r="F35" s="62">
        <f>COUNTIFS('Self-Assessment_Cases'!$E$4:$E$657,"CA-8",'Self-Assessment_Cases'!$I4:$I657,"In Progress - Configuration")</f>
        <v>0</v>
      </c>
      <c r="G35" s="65">
        <f t="shared" si="2"/>
        <v>0</v>
      </c>
      <c r="H35" s="48">
        <f>COUNTIFS('Self-Assessment_Cases'!$E$4:$E$657,"CA-8",'Self-Assessment_Cases'!$I4:$I657,"In Progress - Installation/Upgrade")</f>
        <v>0</v>
      </c>
      <c r="I35" s="66">
        <f t="shared" si="3"/>
        <v>0</v>
      </c>
      <c r="J35" s="49">
        <f>COUNTIFS('Self-Assessment_Cases'!$E$4:$E$657,"CA-8",'Self-Assessment_Cases'!$I4:$I657,"Not Implemented - Compensating Control")</f>
        <v>0</v>
      </c>
      <c r="K35" s="67">
        <f t="shared" si="4"/>
        <v>0</v>
      </c>
      <c r="L35" s="50">
        <f>COUNTIFS('Self-Assessment_Cases'!$E$4:$E$657,"CA-8",'Self-Assessment_Cases'!$I4:$I657,"Not Implemented - Risk Negligible")</f>
        <v>0</v>
      </c>
      <c r="M35" s="56">
        <f t="shared" si="5"/>
        <v>0</v>
      </c>
      <c r="N35" s="57">
        <f>COUNTIFS('Self-Assessment_Cases'!$E$4:$E$657,"CA-8",'Self-Assessment_Cases'!$I4:$I657,"Not Implemented - Risk Accepted")</f>
        <v>0</v>
      </c>
      <c r="O35" s="57">
        <f t="shared" si="6"/>
        <v>0</v>
      </c>
      <c r="P35" s="58">
        <f>COUNTIFS('Self-Assessment_Cases'!$E$4:$E$657,"CA-8",'Self-Assessment_Cases'!$I4:$I657,"Not Implemented - Planned")</f>
        <v>0</v>
      </c>
      <c r="Q35" s="58">
        <f t="shared" si="7"/>
        <v>0</v>
      </c>
      <c r="R35" s="59">
        <f>COUNTIFS('Self-Assessment_Cases'!$E$4:$E$657,"CA-8",'Self-Assessment_Cases'!$I4:$I657,"Not Implemented - Unplanned")</f>
        <v>0</v>
      </c>
      <c r="S35" s="59">
        <f t="shared" si="8"/>
        <v>0</v>
      </c>
      <c r="T35" s="60">
        <f>COUNTIFS('Self-Assessment_Cases'!$E$4:$E$657,"CA-8",'Self-Assessment_Cases'!$I4:$I657,"Not Applicable")</f>
        <v>0</v>
      </c>
      <c r="U35" s="61"/>
      <c r="V35" s="68" t="e">
        <f t="shared" si="9"/>
        <v>#DIV/0!</v>
      </c>
      <c r="W35" s="44">
        <f t="shared" si="10"/>
        <v>0</v>
      </c>
    </row>
    <row r="36" spans="1:23" x14ac:dyDescent="0.2">
      <c r="A36" s="45" t="s">
        <v>58</v>
      </c>
      <c r="B36" s="46">
        <f>COUNTIFS('Self-Assessment_Cases'!$E$4:$E$657,"CA-9",'Self-Assessment_Cases'!$I4:$I657,"Implemented")</f>
        <v>0</v>
      </c>
      <c r="C36" s="63">
        <f t="shared" si="0"/>
        <v>0</v>
      </c>
      <c r="D36" s="47">
        <f>COUNTIFS('Self-Assessment_Cases'!$E$4:$E$657,"CA-9",'Self-Assessment_Cases'!$I4:$I657,"In Progress - Administrative")</f>
        <v>0</v>
      </c>
      <c r="E36" s="64">
        <f t="shared" si="1"/>
        <v>0</v>
      </c>
      <c r="F36" s="62">
        <f>COUNTIFS('Self-Assessment_Cases'!$E$4:$E$657,"CA-9",'Self-Assessment_Cases'!$I4:$I657,"In Progress - Configuration")</f>
        <v>0</v>
      </c>
      <c r="G36" s="65">
        <f t="shared" si="2"/>
        <v>0</v>
      </c>
      <c r="H36" s="48">
        <f>COUNTIFS('Self-Assessment_Cases'!$E$4:$E$657,"CA-9",'Self-Assessment_Cases'!$I4:$I657,"In Progress - Installation/Upgrade")</f>
        <v>0</v>
      </c>
      <c r="I36" s="66">
        <f t="shared" si="3"/>
        <v>0</v>
      </c>
      <c r="J36" s="49">
        <f>COUNTIFS('Self-Assessment_Cases'!$E$4:$E$657,"CA-9",'Self-Assessment_Cases'!$I4:$I657,"Not Implemented - Compensating Control")</f>
        <v>0</v>
      </c>
      <c r="K36" s="67">
        <f t="shared" si="4"/>
        <v>0</v>
      </c>
      <c r="L36" s="50">
        <f>COUNTIFS('Self-Assessment_Cases'!$E$4:$E$657,"CA-9",'Self-Assessment_Cases'!$I4:$I657,"Not Implemented - Risk Negligible")</f>
        <v>0</v>
      </c>
      <c r="M36" s="56">
        <f t="shared" si="5"/>
        <v>0</v>
      </c>
      <c r="N36" s="57">
        <f>COUNTIFS('Self-Assessment_Cases'!$E$4:$E$657,"CA-9",'Self-Assessment_Cases'!$I4:$I657,"Not Implemented - Risk Accepted")</f>
        <v>0</v>
      </c>
      <c r="O36" s="57">
        <f t="shared" si="6"/>
        <v>0</v>
      </c>
      <c r="P36" s="58">
        <f>COUNTIFS('Self-Assessment_Cases'!$E$4:$E$657,"CA-9",'Self-Assessment_Cases'!$I4:$I657,"Not Implemented - Planned")</f>
        <v>0</v>
      </c>
      <c r="Q36" s="58">
        <f t="shared" si="7"/>
        <v>0</v>
      </c>
      <c r="R36" s="59">
        <f>COUNTIFS('Self-Assessment_Cases'!$E$4:$E$657,"CA-9",'Self-Assessment_Cases'!$I4:$I657,"Not Implemented - Unplanned")</f>
        <v>0</v>
      </c>
      <c r="S36" s="59">
        <f t="shared" si="8"/>
        <v>0</v>
      </c>
      <c r="T36" s="60">
        <f>COUNTIFS('Self-Assessment_Cases'!$E$4:$E$657,"CA-9",'Self-Assessment_Cases'!$I4:$I657,"Not Applicable")</f>
        <v>0</v>
      </c>
      <c r="U36" s="61"/>
      <c r="V36" s="68" t="e">
        <f t="shared" si="9"/>
        <v>#DIV/0!</v>
      </c>
      <c r="W36" s="44">
        <f t="shared" si="10"/>
        <v>0</v>
      </c>
    </row>
    <row r="37" spans="1:23" ht="15" customHeight="1" x14ac:dyDescent="0.2">
      <c r="A37" s="45" t="s">
        <v>60</v>
      </c>
      <c r="B37" s="46">
        <f>COUNTIFS('Self-Assessment_Cases'!$E$4:$E$657,"CM-1",'Self-Assessment_Cases'!$I4:$I657,"Implemented")</f>
        <v>0</v>
      </c>
      <c r="C37" s="63">
        <f t="shared" si="0"/>
        <v>0</v>
      </c>
      <c r="D37" s="47">
        <f>COUNTIFS('Self-Assessment_Cases'!$E$4:$E$657,"CM-1",'Self-Assessment_Cases'!$I4:$I657,"In Progress - Administrative")</f>
        <v>0</v>
      </c>
      <c r="E37" s="64">
        <f t="shared" si="1"/>
        <v>0</v>
      </c>
      <c r="F37" s="62">
        <f>COUNTIFS('Self-Assessment_Cases'!$E$4:$E$657,"CM-1",'Self-Assessment_Cases'!$I4:$I657,"In Progress - Configuration")</f>
        <v>0</v>
      </c>
      <c r="G37" s="65">
        <f t="shared" si="2"/>
        <v>0</v>
      </c>
      <c r="H37" s="48">
        <f>COUNTIFS('Self-Assessment_Cases'!$E$4:$E$657,"CM-1",'Self-Assessment_Cases'!$I4:$I657,"In Progress - Installation/Upgrade")</f>
        <v>0</v>
      </c>
      <c r="I37" s="66">
        <f t="shared" si="3"/>
        <v>0</v>
      </c>
      <c r="J37" s="49">
        <f>COUNTIFS('Self-Assessment_Cases'!$E$4:$E$657,"CM-1",'Self-Assessment_Cases'!$I4:$I657,"Not Implemented - Compensating Control")</f>
        <v>0</v>
      </c>
      <c r="K37" s="67">
        <f t="shared" si="4"/>
        <v>0</v>
      </c>
      <c r="L37" s="50">
        <f>COUNTIFS('Self-Assessment_Cases'!$E$4:$E$657,"CM-1",'Self-Assessment_Cases'!$I4:$I657,"Not Implemented - Risk Negligible")</f>
        <v>0</v>
      </c>
      <c r="M37" s="56">
        <f t="shared" si="5"/>
        <v>0</v>
      </c>
      <c r="N37" s="57">
        <f>COUNTIFS('Self-Assessment_Cases'!$E$4:$E$657,"CM-1",'Self-Assessment_Cases'!$I4:$I657,"Not Implemented - Risk Accepted")</f>
        <v>0</v>
      </c>
      <c r="O37" s="57">
        <f t="shared" si="6"/>
        <v>0</v>
      </c>
      <c r="P37" s="58">
        <f>COUNTIFS('Self-Assessment_Cases'!$E$4:$E$657,"CM-1",'Self-Assessment_Cases'!$I4:$I657,"Not Implemented - Planned")</f>
        <v>0</v>
      </c>
      <c r="Q37" s="58">
        <f t="shared" si="7"/>
        <v>0</v>
      </c>
      <c r="R37" s="59">
        <f>COUNTIFS('Self-Assessment_Cases'!$E$4:$E$657,"CM-1",'Self-Assessment_Cases'!$I4:$I657,"Not Implemented - Unplanned")</f>
        <v>0</v>
      </c>
      <c r="S37" s="59">
        <f t="shared" si="8"/>
        <v>0</v>
      </c>
      <c r="T37" s="60">
        <f>COUNTIFS('Self-Assessment_Cases'!$E$4:$E$657,"CM-1",'Self-Assessment_Cases'!$I4:$I657,"Not Applicable")</f>
        <v>0</v>
      </c>
      <c r="U37" s="61"/>
      <c r="V37" s="68" t="e">
        <f t="shared" si="9"/>
        <v>#DIV/0!</v>
      </c>
      <c r="W37" s="44">
        <f t="shared" si="10"/>
        <v>0</v>
      </c>
    </row>
    <row r="38" spans="1:23" ht="15" customHeight="1" x14ac:dyDescent="0.2">
      <c r="A38" s="45" t="s">
        <v>78</v>
      </c>
      <c r="B38" s="46">
        <f>COUNTIFS('Self-Assessment_Cases'!$E$4:$E$657,"CM-10",'Self-Assessment_Cases'!$I4:$I657,"Implemented")</f>
        <v>0</v>
      </c>
      <c r="C38" s="63">
        <f t="shared" si="0"/>
        <v>0</v>
      </c>
      <c r="D38" s="47">
        <f>COUNTIFS('Self-Assessment_Cases'!$E$4:$E$657,"CM-10",'Self-Assessment_Cases'!$I4:$I657,"In Progress - Administrative")</f>
        <v>0</v>
      </c>
      <c r="E38" s="64">
        <f t="shared" si="1"/>
        <v>0</v>
      </c>
      <c r="F38" s="62">
        <f>COUNTIFS('Self-Assessment_Cases'!$E$4:$E$657,"CM-10",'Self-Assessment_Cases'!$I4:$I657,"In Progress - Configuration")</f>
        <v>0</v>
      </c>
      <c r="G38" s="65">
        <f t="shared" si="2"/>
        <v>0</v>
      </c>
      <c r="H38" s="48">
        <f>COUNTIFS('Self-Assessment_Cases'!$E$4:$E$657,"CM-10",'Self-Assessment_Cases'!$I4:$I657,"In Progress - Installation/Upgrade")</f>
        <v>0</v>
      </c>
      <c r="I38" s="66">
        <f t="shared" si="3"/>
        <v>0</v>
      </c>
      <c r="J38" s="49">
        <f>COUNTIFS('Self-Assessment_Cases'!$E$4:$E$657,"CM-10",'Self-Assessment_Cases'!$I4:$I657,"Not Implemented - Compensating Control")</f>
        <v>0</v>
      </c>
      <c r="K38" s="67">
        <f t="shared" si="4"/>
        <v>0</v>
      </c>
      <c r="L38" s="50">
        <f>COUNTIFS('Self-Assessment_Cases'!$E$4:$E$657,"CM-10",'Self-Assessment_Cases'!$I4:$I657,"Not Implemented - Risk Negligible")</f>
        <v>0</v>
      </c>
      <c r="M38" s="56">
        <f t="shared" si="5"/>
        <v>0</v>
      </c>
      <c r="N38" s="57">
        <f>COUNTIFS('Self-Assessment_Cases'!$E$4:$E$657,"CM-10",'Self-Assessment_Cases'!$I4:$I657,"Not Implemented - Risk Accepted")</f>
        <v>0</v>
      </c>
      <c r="O38" s="57">
        <f t="shared" si="6"/>
        <v>0</v>
      </c>
      <c r="P38" s="58">
        <f>COUNTIFS('Self-Assessment_Cases'!$E$4:$E$657,"CM-10",'Self-Assessment_Cases'!$I4:$I657,"Not Implemented - Planned")</f>
        <v>0</v>
      </c>
      <c r="Q38" s="58">
        <f t="shared" si="7"/>
        <v>0</v>
      </c>
      <c r="R38" s="59">
        <f>COUNTIFS('Self-Assessment_Cases'!$E$4:$E$657,"CM-10",'Self-Assessment_Cases'!$I4:$I657,"Not Implemented - Unplanned")</f>
        <v>0</v>
      </c>
      <c r="S38" s="59">
        <f t="shared" si="8"/>
        <v>0</v>
      </c>
      <c r="T38" s="60">
        <f>COUNTIFS('Self-Assessment_Cases'!$E$4:$E$657,"CM-10",'Self-Assessment_Cases'!$I4:$I657,"Not Applicable")</f>
        <v>0</v>
      </c>
      <c r="U38" s="61"/>
      <c r="V38" s="68" t="e">
        <f t="shared" si="9"/>
        <v>#DIV/0!</v>
      </c>
      <c r="W38" s="44">
        <f t="shared" si="10"/>
        <v>0</v>
      </c>
    </row>
    <row r="39" spans="1:23" ht="15" customHeight="1" x14ac:dyDescent="0.2">
      <c r="A39" s="45" t="s">
        <v>80</v>
      </c>
      <c r="B39" s="46">
        <f>COUNTIFS('Self-Assessment_Cases'!$E$4:$E$657,"CM-11",'Self-Assessment_Cases'!$I4:$I657,"Implemented")</f>
        <v>0</v>
      </c>
      <c r="C39" s="63">
        <f t="shared" si="0"/>
        <v>0</v>
      </c>
      <c r="D39" s="47">
        <f>COUNTIFS('Self-Assessment_Cases'!$E$4:$E$657,"CM-11",'Self-Assessment_Cases'!$I4:$I657,"In Progress - Administrative")</f>
        <v>0</v>
      </c>
      <c r="E39" s="64">
        <f t="shared" si="1"/>
        <v>0</v>
      </c>
      <c r="F39" s="62">
        <f>COUNTIFS('Self-Assessment_Cases'!$E$4:$E$657,"CM-11",'Self-Assessment_Cases'!$I4:$I657,"In Progress - Configuration")</f>
        <v>0</v>
      </c>
      <c r="G39" s="65">
        <f t="shared" si="2"/>
        <v>0</v>
      </c>
      <c r="H39" s="48">
        <f>COUNTIFS('Self-Assessment_Cases'!$E$4:$E$657,"CM-11",'Self-Assessment_Cases'!$I4:$I657,"In Progress - Installation/Upgrade")</f>
        <v>0</v>
      </c>
      <c r="I39" s="66">
        <f t="shared" si="3"/>
        <v>0</v>
      </c>
      <c r="J39" s="49">
        <f>COUNTIFS('Self-Assessment_Cases'!$E$4:$E$657,"CM-11",'Self-Assessment_Cases'!$I4:$I657,"Not Implemented - Compensating Control")</f>
        <v>0</v>
      </c>
      <c r="K39" s="67">
        <f t="shared" si="4"/>
        <v>0</v>
      </c>
      <c r="L39" s="50">
        <f>COUNTIFS('Self-Assessment_Cases'!$E$4:$E$657,"CM-11",'Self-Assessment_Cases'!$I4:$I657,"Not Implemented - Risk Negligible")</f>
        <v>0</v>
      </c>
      <c r="M39" s="56">
        <f t="shared" si="5"/>
        <v>0</v>
      </c>
      <c r="N39" s="57">
        <f>COUNTIFS('Self-Assessment_Cases'!$E$4:$E$657,"CM-11",'Self-Assessment_Cases'!$I4:$I657,"Not Implemented - Risk Accepted")</f>
        <v>0</v>
      </c>
      <c r="O39" s="57">
        <f t="shared" si="6"/>
        <v>0</v>
      </c>
      <c r="P39" s="58">
        <f>COUNTIFS('Self-Assessment_Cases'!$E$4:$E$657,"CM-11",'Self-Assessment_Cases'!$I4:$I657,"Not Implemented - Planned")</f>
        <v>0</v>
      </c>
      <c r="Q39" s="58">
        <f t="shared" si="7"/>
        <v>0</v>
      </c>
      <c r="R39" s="59">
        <f>COUNTIFS('Self-Assessment_Cases'!$E$4:$E$657,"CM-11",'Self-Assessment_Cases'!$I4:$I657,"Not Implemented - Unplanned")</f>
        <v>0</v>
      </c>
      <c r="S39" s="59">
        <f t="shared" si="8"/>
        <v>0</v>
      </c>
      <c r="T39" s="60">
        <f>COUNTIFS('Self-Assessment_Cases'!$E$4:$E$657,"CM-11",'Self-Assessment_Cases'!$I4:$I657,"Not Applicable")</f>
        <v>0</v>
      </c>
      <c r="U39" s="61"/>
      <c r="V39" s="68" t="e">
        <f t="shared" si="9"/>
        <v>#DIV/0!</v>
      </c>
      <c r="W39" s="44">
        <f t="shared" si="10"/>
        <v>0</v>
      </c>
    </row>
    <row r="40" spans="1:23" ht="15" customHeight="1" x14ac:dyDescent="0.2">
      <c r="A40" s="45" t="s">
        <v>62</v>
      </c>
      <c r="B40" s="46">
        <f>COUNTIFS('Self-Assessment_Cases'!$E$4:$E$657,"CM-2",'Self-Assessment_Cases'!$I4:$I657,"Implemented")</f>
        <v>0</v>
      </c>
      <c r="C40" s="63">
        <f t="shared" si="0"/>
        <v>0</v>
      </c>
      <c r="D40" s="47">
        <f>COUNTIFS('Self-Assessment_Cases'!$E$4:$E$657,"CM-2",'Self-Assessment_Cases'!$I4:$I657,"In Progress - Administrative")</f>
        <v>0</v>
      </c>
      <c r="E40" s="64">
        <f t="shared" si="1"/>
        <v>0</v>
      </c>
      <c r="F40" s="62">
        <f>COUNTIFS('Self-Assessment_Cases'!$E$4:$E$657,"CM-2",'Self-Assessment_Cases'!$I4:$I657,"In Progress - Configuration")</f>
        <v>0</v>
      </c>
      <c r="G40" s="65">
        <f t="shared" si="2"/>
        <v>0</v>
      </c>
      <c r="H40" s="48">
        <f>COUNTIFS('Self-Assessment_Cases'!$E$4:$E$657,"CM-2",'Self-Assessment_Cases'!$I4:$I657,"In Progress - Installation/Upgrade")</f>
        <v>0</v>
      </c>
      <c r="I40" s="66">
        <f t="shared" si="3"/>
        <v>0</v>
      </c>
      <c r="J40" s="49">
        <f>COUNTIFS('Self-Assessment_Cases'!$E$4:$E$657,"CM-2",'Self-Assessment_Cases'!$I4:$I657,"Not Implemented - Compensating Control")</f>
        <v>0</v>
      </c>
      <c r="K40" s="67">
        <f t="shared" si="4"/>
        <v>0</v>
      </c>
      <c r="L40" s="50">
        <f>COUNTIFS('Self-Assessment_Cases'!$E$4:$E$657,"CM-2",'Self-Assessment_Cases'!$I4:$I657,"Not Implemented - Risk Negligible")</f>
        <v>0</v>
      </c>
      <c r="M40" s="56">
        <f t="shared" si="5"/>
        <v>0</v>
      </c>
      <c r="N40" s="57">
        <f>COUNTIFS('Self-Assessment_Cases'!$E$4:$E$657,"CM-2",'Self-Assessment_Cases'!$I4:$I657,"Not Implemented - Risk Accepted")</f>
        <v>0</v>
      </c>
      <c r="O40" s="57">
        <f t="shared" si="6"/>
        <v>0</v>
      </c>
      <c r="P40" s="58">
        <f>COUNTIFS('Self-Assessment_Cases'!$E$4:$E$657,"CM-2",'Self-Assessment_Cases'!$I4:$I657,"Not Implemented - Planned")</f>
        <v>0</v>
      </c>
      <c r="Q40" s="58">
        <f t="shared" si="7"/>
        <v>0</v>
      </c>
      <c r="R40" s="59">
        <f>COUNTIFS('Self-Assessment_Cases'!$E$4:$E$657,"CM-2",'Self-Assessment_Cases'!$I4:$I657,"Not Implemented - Unplanned")</f>
        <v>0</v>
      </c>
      <c r="S40" s="59">
        <f t="shared" si="8"/>
        <v>0</v>
      </c>
      <c r="T40" s="60">
        <f>COUNTIFS('Self-Assessment_Cases'!$E$4:$E$657,"CM-2",'Self-Assessment_Cases'!$I4:$I657,"Not Applicable")</f>
        <v>0</v>
      </c>
      <c r="U40" s="61"/>
      <c r="V40" s="68" t="e">
        <f t="shared" si="9"/>
        <v>#DIV/0!</v>
      </c>
      <c r="W40" s="44">
        <f t="shared" si="10"/>
        <v>0</v>
      </c>
    </row>
    <row r="41" spans="1:23" ht="15" customHeight="1" x14ac:dyDescent="0.2">
      <c r="A41" s="45" t="s">
        <v>64</v>
      </c>
      <c r="B41" s="46">
        <f>COUNTIFS('Self-Assessment_Cases'!$E$4:$E$657,"CM-3",'Self-Assessment_Cases'!$I4:$I657,"Implemented")</f>
        <v>0</v>
      </c>
      <c r="C41" s="63">
        <f t="shared" si="0"/>
        <v>0</v>
      </c>
      <c r="D41" s="47">
        <f>COUNTIFS('Self-Assessment_Cases'!$E$4:$E$657,"CM-3",'Self-Assessment_Cases'!$I4:$I657,"In Progress - Administrative")</f>
        <v>0</v>
      </c>
      <c r="E41" s="64">
        <f t="shared" si="1"/>
        <v>0</v>
      </c>
      <c r="F41" s="62">
        <f>COUNTIFS('Self-Assessment_Cases'!$E$4:$E$657,"CM-3",'Self-Assessment_Cases'!$I4:$I657,"In Progress - Configuration")</f>
        <v>0</v>
      </c>
      <c r="G41" s="65">
        <f t="shared" si="2"/>
        <v>0</v>
      </c>
      <c r="H41" s="48">
        <f>COUNTIFS('Self-Assessment_Cases'!$E$4:$E$657,"CM-3",'Self-Assessment_Cases'!$I4:$I657,"In Progress - Installation/Upgrade")</f>
        <v>0</v>
      </c>
      <c r="I41" s="66">
        <f t="shared" si="3"/>
        <v>0</v>
      </c>
      <c r="J41" s="49">
        <f>COUNTIFS('Self-Assessment_Cases'!$E$4:$E$657,"CM-3",'Self-Assessment_Cases'!$I4:$I657,"Not Implemented - Compensating Control")</f>
        <v>0</v>
      </c>
      <c r="K41" s="67">
        <f t="shared" si="4"/>
        <v>0</v>
      </c>
      <c r="L41" s="50">
        <f>COUNTIFS('Self-Assessment_Cases'!$E$4:$E$657,"CM-3",'Self-Assessment_Cases'!$I4:$I657,"Not Implemented - Risk Negligible")</f>
        <v>0</v>
      </c>
      <c r="M41" s="56">
        <f t="shared" si="5"/>
        <v>0</v>
      </c>
      <c r="N41" s="57">
        <f>COUNTIFS('Self-Assessment_Cases'!$E$4:$E$657,"CM-3",'Self-Assessment_Cases'!$I4:$I657,"Not Implemented - Risk Accepted")</f>
        <v>0</v>
      </c>
      <c r="O41" s="57">
        <f t="shared" si="6"/>
        <v>0</v>
      </c>
      <c r="P41" s="58">
        <f>COUNTIFS('Self-Assessment_Cases'!$E$4:$E$657,"CM-3",'Self-Assessment_Cases'!$I4:$I657,"Not Implemented - Planned")</f>
        <v>0</v>
      </c>
      <c r="Q41" s="58">
        <f t="shared" si="7"/>
        <v>0</v>
      </c>
      <c r="R41" s="59">
        <f>COUNTIFS('Self-Assessment_Cases'!$E$4:$E$657,"CM-3",'Self-Assessment_Cases'!$I4:$I657,"Not Implemented - Unplanned")</f>
        <v>0</v>
      </c>
      <c r="S41" s="59">
        <f t="shared" si="8"/>
        <v>0</v>
      </c>
      <c r="T41" s="60">
        <f>COUNTIFS('Self-Assessment_Cases'!$E$4:$E$657,"CM-3",'Self-Assessment_Cases'!$I4:$I657,"Not Applicable")</f>
        <v>0</v>
      </c>
      <c r="U41" s="61"/>
      <c r="V41" s="68" t="e">
        <f t="shared" si="9"/>
        <v>#DIV/0!</v>
      </c>
      <c r="W41" s="44">
        <f t="shared" si="10"/>
        <v>0</v>
      </c>
    </row>
    <row r="42" spans="1:23" ht="15" customHeight="1" x14ac:dyDescent="0.2">
      <c r="A42" s="45" t="s">
        <v>66</v>
      </c>
      <c r="B42" s="46">
        <f>COUNTIFS('Self-Assessment_Cases'!$E$4:$E$657,"CM-4",'Self-Assessment_Cases'!$I4:$I657,"Implemented")</f>
        <v>0</v>
      </c>
      <c r="C42" s="63">
        <f t="shared" si="0"/>
        <v>0</v>
      </c>
      <c r="D42" s="47">
        <f>COUNTIFS('Self-Assessment_Cases'!$E$4:$E$657,"CM-4",'Self-Assessment_Cases'!$I4:$I657,"In Progress - Administrative")</f>
        <v>0</v>
      </c>
      <c r="E42" s="64">
        <f t="shared" si="1"/>
        <v>0</v>
      </c>
      <c r="F42" s="62">
        <f>COUNTIFS('Self-Assessment_Cases'!$E$4:$E$657,"CM-4",'Self-Assessment_Cases'!$I4:$I657,"In Progress - Configuration")</f>
        <v>0</v>
      </c>
      <c r="G42" s="65">
        <f t="shared" si="2"/>
        <v>0</v>
      </c>
      <c r="H42" s="48">
        <f>COUNTIFS('Self-Assessment_Cases'!$E$4:$E$657,"CM-4",'Self-Assessment_Cases'!$I4:$I657,"In Progress - Installation/Upgrade")</f>
        <v>0</v>
      </c>
      <c r="I42" s="66">
        <f t="shared" si="3"/>
        <v>0</v>
      </c>
      <c r="J42" s="49">
        <f>COUNTIFS('Self-Assessment_Cases'!$E$4:$E$657,"CM-4",'Self-Assessment_Cases'!$I4:$I657,"Not Implemented - Compensating Control")</f>
        <v>0</v>
      </c>
      <c r="K42" s="67">
        <f t="shared" si="4"/>
        <v>0</v>
      </c>
      <c r="L42" s="50">
        <f>COUNTIFS('Self-Assessment_Cases'!$E$4:$E$657,"CM-4",'Self-Assessment_Cases'!$I4:$I657,"Not Implemented - Risk Negligible")</f>
        <v>0</v>
      </c>
      <c r="M42" s="56">
        <f t="shared" si="5"/>
        <v>0</v>
      </c>
      <c r="N42" s="57">
        <f>COUNTIFS('Self-Assessment_Cases'!$E$4:$E$657,"CM-4",'Self-Assessment_Cases'!$I4:$I657,"Not Implemented - Risk Accepted")</f>
        <v>0</v>
      </c>
      <c r="O42" s="57">
        <f t="shared" si="6"/>
        <v>0</v>
      </c>
      <c r="P42" s="58">
        <f>COUNTIFS('Self-Assessment_Cases'!$E$4:$E$657,"CM-4",'Self-Assessment_Cases'!$I4:$I657,"Not Implemented - Planned")</f>
        <v>0</v>
      </c>
      <c r="Q42" s="58">
        <f t="shared" si="7"/>
        <v>0</v>
      </c>
      <c r="R42" s="59">
        <f>COUNTIFS('Self-Assessment_Cases'!$E$4:$E$657,"CM-4",'Self-Assessment_Cases'!$I4:$I657,"Not Implemented - Unplanned")</f>
        <v>0</v>
      </c>
      <c r="S42" s="59">
        <f t="shared" si="8"/>
        <v>0</v>
      </c>
      <c r="T42" s="60">
        <f>COUNTIFS('Self-Assessment_Cases'!$E$4:$E$657,"CM-4",'Self-Assessment_Cases'!$I4:$I657,"Not Applicable")</f>
        <v>0</v>
      </c>
      <c r="U42" s="61"/>
      <c r="V42" s="68" t="e">
        <f t="shared" si="9"/>
        <v>#DIV/0!</v>
      </c>
      <c r="W42" s="44">
        <f t="shared" si="10"/>
        <v>0</v>
      </c>
    </row>
    <row r="43" spans="1:23" ht="15" customHeight="1" x14ac:dyDescent="0.2">
      <c r="A43" s="45" t="s">
        <v>68</v>
      </c>
      <c r="B43" s="46">
        <f>COUNTIFS('Self-Assessment_Cases'!$E$4:$E$657,"CM-5",'Self-Assessment_Cases'!$I4:$I657,"Implemented")</f>
        <v>0</v>
      </c>
      <c r="C43" s="63">
        <f t="shared" si="0"/>
        <v>0</v>
      </c>
      <c r="D43" s="47">
        <f>COUNTIFS('Self-Assessment_Cases'!$E$4:$E$657,"CM-5",'Self-Assessment_Cases'!$I4:$I657,"In Progress - Administrative")</f>
        <v>0</v>
      </c>
      <c r="E43" s="64">
        <f t="shared" si="1"/>
        <v>0</v>
      </c>
      <c r="F43" s="62">
        <f>COUNTIFS('Self-Assessment_Cases'!$E$4:$E$657,"CM-5",'Self-Assessment_Cases'!$I4:$I657,"In Progress - Configuration")</f>
        <v>0</v>
      </c>
      <c r="G43" s="65">
        <f t="shared" si="2"/>
        <v>0</v>
      </c>
      <c r="H43" s="48">
        <f>COUNTIFS('Self-Assessment_Cases'!$E$4:$E$657,"CM-5",'Self-Assessment_Cases'!$I4:$I657,"In Progress - Installation/Upgrade")</f>
        <v>0</v>
      </c>
      <c r="I43" s="66">
        <f t="shared" si="3"/>
        <v>0</v>
      </c>
      <c r="J43" s="49">
        <f>COUNTIFS('Self-Assessment_Cases'!$E$4:$E$657,"CM-5",'Self-Assessment_Cases'!$I4:$I657,"Not Implemented - Compensating Control")</f>
        <v>0</v>
      </c>
      <c r="K43" s="67">
        <f t="shared" si="4"/>
        <v>0</v>
      </c>
      <c r="L43" s="50">
        <f>COUNTIFS('Self-Assessment_Cases'!$E$4:$E$657,"CM-5",'Self-Assessment_Cases'!$I4:$I657,"Not Implemented - Risk Negligible")</f>
        <v>0</v>
      </c>
      <c r="M43" s="56">
        <f t="shared" si="5"/>
        <v>0</v>
      </c>
      <c r="N43" s="57">
        <f>COUNTIFS('Self-Assessment_Cases'!$E$4:$E$657,"CM-5",'Self-Assessment_Cases'!$I4:$I657,"Not Implemented - Risk Accepted")</f>
        <v>0</v>
      </c>
      <c r="O43" s="57">
        <f t="shared" si="6"/>
        <v>0</v>
      </c>
      <c r="P43" s="58">
        <f>COUNTIFS('Self-Assessment_Cases'!$E$4:$E$657,"CM-5",'Self-Assessment_Cases'!$I4:$I657,"Not Implemented - Planned")</f>
        <v>0</v>
      </c>
      <c r="Q43" s="58">
        <f t="shared" si="7"/>
        <v>0</v>
      </c>
      <c r="R43" s="59">
        <f>COUNTIFS('Self-Assessment_Cases'!$E$4:$E$657,"CM-5",'Self-Assessment_Cases'!$I4:$I657,"Not Implemented - Unplanned")</f>
        <v>0</v>
      </c>
      <c r="S43" s="59">
        <f t="shared" si="8"/>
        <v>0</v>
      </c>
      <c r="T43" s="60">
        <f>COUNTIFS('Self-Assessment_Cases'!$E$4:$E$657,"CM-5",'Self-Assessment_Cases'!$I4:$I657,"Not Applicable")</f>
        <v>0</v>
      </c>
      <c r="U43" s="61"/>
      <c r="V43" s="68" t="e">
        <f t="shared" si="9"/>
        <v>#DIV/0!</v>
      </c>
      <c r="W43" s="44">
        <f t="shared" si="10"/>
        <v>0</v>
      </c>
    </row>
    <row r="44" spans="1:23" ht="15" customHeight="1" x14ac:dyDescent="0.2">
      <c r="A44" s="45" t="s">
        <v>70</v>
      </c>
      <c r="B44" s="46">
        <f>COUNTIFS('Self-Assessment_Cases'!$E$4:$E$657,"CM-6",'Self-Assessment_Cases'!$I4:$I657,"Implemented")</f>
        <v>0</v>
      </c>
      <c r="C44" s="63">
        <f t="shared" si="0"/>
        <v>0</v>
      </c>
      <c r="D44" s="47">
        <f>COUNTIFS('Self-Assessment_Cases'!$E$4:$E$657,"CM-6",'Self-Assessment_Cases'!$I4:$I657,"In Progress - Administrative")</f>
        <v>0</v>
      </c>
      <c r="E44" s="64">
        <f t="shared" si="1"/>
        <v>0</v>
      </c>
      <c r="F44" s="62">
        <f>COUNTIFS('Self-Assessment_Cases'!$E$4:$E$657,"CM-6",'Self-Assessment_Cases'!$I4:$I657,"In Progress - Configuration")</f>
        <v>0</v>
      </c>
      <c r="G44" s="65">
        <f t="shared" si="2"/>
        <v>0</v>
      </c>
      <c r="H44" s="48">
        <f>COUNTIFS('Self-Assessment_Cases'!$E$4:$E$657,"CM-6",'Self-Assessment_Cases'!$I4:$I657,"In Progress - Installation/Upgrade")</f>
        <v>0</v>
      </c>
      <c r="I44" s="66">
        <f t="shared" si="3"/>
        <v>0</v>
      </c>
      <c r="J44" s="49">
        <f>COUNTIFS('Self-Assessment_Cases'!$E$4:$E$657,"CM-6",'Self-Assessment_Cases'!$I4:$I657,"Not Implemented - Compensating Control")</f>
        <v>0</v>
      </c>
      <c r="K44" s="67">
        <f t="shared" si="4"/>
        <v>0</v>
      </c>
      <c r="L44" s="50">
        <f>COUNTIFS('Self-Assessment_Cases'!$E$4:$E$657,"CM-6",'Self-Assessment_Cases'!$I4:$I657,"Not Implemented - Risk Negligible")</f>
        <v>0</v>
      </c>
      <c r="M44" s="56">
        <f t="shared" si="5"/>
        <v>0</v>
      </c>
      <c r="N44" s="57">
        <f>COUNTIFS('Self-Assessment_Cases'!$E$4:$E$657,"CM-6",'Self-Assessment_Cases'!$I4:$I657,"Not Implemented - Risk Accepted")</f>
        <v>0</v>
      </c>
      <c r="O44" s="57">
        <f t="shared" si="6"/>
        <v>0</v>
      </c>
      <c r="P44" s="58">
        <f>COUNTIFS('Self-Assessment_Cases'!$E$4:$E$657,"CM-6",'Self-Assessment_Cases'!$I4:$I657,"Not Implemented - Planned")</f>
        <v>0</v>
      </c>
      <c r="Q44" s="58">
        <f t="shared" si="7"/>
        <v>0</v>
      </c>
      <c r="R44" s="59">
        <f>COUNTIFS('Self-Assessment_Cases'!$E$4:$E$657,"CM-6",'Self-Assessment_Cases'!$I4:$I657,"Not Implemented - Unplanned")</f>
        <v>0</v>
      </c>
      <c r="S44" s="59">
        <f t="shared" si="8"/>
        <v>0</v>
      </c>
      <c r="T44" s="60">
        <f>COUNTIFS('Self-Assessment_Cases'!$E$4:$E$657,"CM-6",'Self-Assessment_Cases'!$I4:$I657,"Not Applicable")</f>
        <v>0</v>
      </c>
      <c r="U44" s="61"/>
      <c r="V44" s="68" t="e">
        <f t="shared" si="9"/>
        <v>#DIV/0!</v>
      </c>
      <c r="W44" s="44">
        <f t="shared" si="10"/>
        <v>0</v>
      </c>
    </row>
    <row r="45" spans="1:23" ht="15" customHeight="1" x14ac:dyDescent="0.2">
      <c r="A45" s="45" t="s">
        <v>72</v>
      </c>
      <c r="B45" s="46">
        <f>COUNTIFS('Self-Assessment_Cases'!$E$4:$E$657,"CM-7",'Self-Assessment_Cases'!$I4:$I657,"Implemented")</f>
        <v>0</v>
      </c>
      <c r="C45" s="63">
        <f t="shared" si="0"/>
        <v>0</v>
      </c>
      <c r="D45" s="47">
        <f>COUNTIFS('Self-Assessment_Cases'!$E$4:$E$657,"CM-7",'Self-Assessment_Cases'!$I4:$I657,"In Progress - Administrative")</f>
        <v>0</v>
      </c>
      <c r="E45" s="64">
        <f t="shared" si="1"/>
        <v>0</v>
      </c>
      <c r="F45" s="62">
        <f>COUNTIFS('Self-Assessment_Cases'!$E$4:$E$657,"CM-7",'Self-Assessment_Cases'!$I4:$I657,"In Progress - Configuration")</f>
        <v>0</v>
      </c>
      <c r="G45" s="65">
        <f t="shared" si="2"/>
        <v>0</v>
      </c>
      <c r="H45" s="48">
        <f>COUNTIFS('Self-Assessment_Cases'!$E$4:$E$657,"CM-7",'Self-Assessment_Cases'!$I4:$I657,"In Progress - Installation/Upgrade")</f>
        <v>0</v>
      </c>
      <c r="I45" s="66">
        <f t="shared" si="3"/>
        <v>0</v>
      </c>
      <c r="J45" s="49">
        <f>COUNTIFS('Self-Assessment_Cases'!$E$4:$E$657,"CM-7",'Self-Assessment_Cases'!$I4:$I657,"Not Implemented - Compensating Control")</f>
        <v>0</v>
      </c>
      <c r="K45" s="67">
        <f t="shared" si="4"/>
        <v>0</v>
      </c>
      <c r="L45" s="50">
        <f>COUNTIFS('Self-Assessment_Cases'!$E$4:$E$657,"CM-7",'Self-Assessment_Cases'!$I4:$I657,"Not Implemented - Risk Negligible")</f>
        <v>0</v>
      </c>
      <c r="M45" s="56">
        <f t="shared" si="5"/>
        <v>0</v>
      </c>
      <c r="N45" s="57">
        <f>COUNTIFS('Self-Assessment_Cases'!$E$4:$E$657,"CM-7",'Self-Assessment_Cases'!$I4:$I657,"Not Implemented - Risk Accepted")</f>
        <v>0</v>
      </c>
      <c r="O45" s="57">
        <f t="shared" si="6"/>
        <v>0</v>
      </c>
      <c r="P45" s="58">
        <f>COUNTIFS('Self-Assessment_Cases'!$E$4:$E$657,"CM-7",'Self-Assessment_Cases'!$I4:$I657,"Not Implemented - Planned")</f>
        <v>0</v>
      </c>
      <c r="Q45" s="58">
        <f t="shared" si="7"/>
        <v>0</v>
      </c>
      <c r="R45" s="59">
        <f>COUNTIFS('Self-Assessment_Cases'!$E$4:$E$657,"CM-7",'Self-Assessment_Cases'!$I4:$I657,"Not Implemented - Unplanned")</f>
        <v>0</v>
      </c>
      <c r="S45" s="59">
        <f t="shared" si="8"/>
        <v>0</v>
      </c>
      <c r="T45" s="60">
        <f>COUNTIFS('Self-Assessment_Cases'!$E$4:$E$657,"CM-7",'Self-Assessment_Cases'!$I4:$I657,"Not Applicable")</f>
        <v>0</v>
      </c>
      <c r="U45" s="61"/>
      <c r="V45" s="68" t="e">
        <f t="shared" si="9"/>
        <v>#DIV/0!</v>
      </c>
      <c r="W45" s="44">
        <f t="shared" si="10"/>
        <v>0</v>
      </c>
    </row>
    <row r="46" spans="1:23" ht="15" customHeight="1" x14ac:dyDescent="0.2">
      <c r="A46" s="45" t="s">
        <v>74</v>
      </c>
      <c r="B46" s="46">
        <f>COUNTIFS('Self-Assessment_Cases'!$E$4:$E$657,"CM-8",'Self-Assessment_Cases'!$I4:$I657,"Implemented")</f>
        <v>0</v>
      </c>
      <c r="C46" s="63">
        <f t="shared" si="0"/>
        <v>0</v>
      </c>
      <c r="D46" s="47">
        <f>COUNTIFS('Self-Assessment_Cases'!$E$4:$E$657,"CM-8",'Self-Assessment_Cases'!$I4:$I657,"In Progress - Administrative")</f>
        <v>0</v>
      </c>
      <c r="E46" s="64">
        <f t="shared" si="1"/>
        <v>0</v>
      </c>
      <c r="F46" s="62">
        <f>COUNTIFS('Self-Assessment_Cases'!$E$4:$E$657,"CM-8",'Self-Assessment_Cases'!$I4:$I657,"In Progress - Configuration")</f>
        <v>0</v>
      </c>
      <c r="G46" s="65">
        <f t="shared" si="2"/>
        <v>0</v>
      </c>
      <c r="H46" s="48">
        <f>COUNTIFS('Self-Assessment_Cases'!$E$4:$E$657,"CM-8",'Self-Assessment_Cases'!$I4:$I657,"In Progress - Installation/Upgrade")</f>
        <v>0</v>
      </c>
      <c r="I46" s="66">
        <f t="shared" si="3"/>
        <v>0</v>
      </c>
      <c r="J46" s="49">
        <f>COUNTIFS('Self-Assessment_Cases'!$E$4:$E$657,"CM-8",'Self-Assessment_Cases'!$I4:$I657,"Not Implemented - Compensating Control")</f>
        <v>0</v>
      </c>
      <c r="K46" s="67">
        <f t="shared" si="4"/>
        <v>0</v>
      </c>
      <c r="L46" s="50">
        <f>COUNTIFS('Self-Assessment_Cases'!$E$4:$E$657,"CM-8",'Self-Assessment_Cases'!$I4:$I657,"Not Implemented - Risk Negligible")</f>
        <v>0</v>
      </c>
      <c r="M46" s="56">
        <f t="shared" si="5"/>
        <v>0</v>
      </c>
      <c r="N46" s="57">
        <f>COUNTIFS('Self-Assessment_Cases'!$E$4:$E$657,"CM-8",'Self-Assessment_Cases'!$I4:$I657,"Not Implemented - Risk Accepted")</f>
        <v>0</v>
      </c>
      <c r="O46" s="57">
        <f t="shared" si="6"/>
        <v>0</v>
      </c>
      <c r="P46" s="58">
        <f>COUNTIFS('Self-Assessment_Cases'!$E$4:$E$657,"CM-8",'Self-Assessment_Cases'!$I4:$I657,"Not Implemented - Planned")</f>
        <v>0</v>
      </c>
      <c r="Q46" s="58">
        <f t="shared" si="7"/>
        <v>0</v>
      </c>
      <c r="R46" s="59">
        <f>COUNTIFS('Self-Assessment_Cases'!$E$4:$E$657,"CM-8",'Self-Assessment_Cases'!$I4:$I657,"Not Implemented - Unplanned")</f>
        <v>0</v>
      </c>
      <c r="S46" s="59">
        <f t="shared" si="8"/>
        <v>0</v>
      </c>
      <c r="T46" s="60">
        <f>COUNTIFS('Self-Assessment_Cases'!$E$4:$E$657,"CM-8",'Self-Assessment_Cases'!$I4:$I657,"Not Applicable")</f>
        <v>0</v>
      </c>
      <c r="U46" s="61"/>
      <c r="V46" s="68" t="e">
        <f t="shared" si="9"/>
        <v>#DIV/0!</v>
      </c>
      <c r="W46" s="44">
        <f t="shared" si="10"/>
        <v>0</v>
      </c>
    </row>
    <row r="47" spans="1:23" ht="15" customHeight="1" x14ac:dyDescent="0.2">
      <c r="A47" s="45" t="s">
        <v>76</v>
      </c>
      <c r="B47" s="46">
        <f>COUNTIFS('Self-Assessment_Cases'!$E$4:$E$657,"CM-9",'Self-Assessment_Cases'!$I4:$I657,"Implemented")</f>
        <v>0</v>
      </c>
      <c r="C47" s="63">
        <f t="shared" si="0"/>
        <v>0</v>
      </c>
      <c r="D47" s="47">
        <f>COUNTIFS('Self-Assessment_Cases'!$E$4:$E$657,"CM-9",'Self-Assessment_Cases'!$I4:$I657,"In Progress - Administrative")</f>
        <v>0</v>
      </c>
      <c r="E47" s="64">
        <f t="shared" si="1"/>
        <v>0</v>
      </c>
      <c r="F47" s="62">
        <f>COUNTIFS('Self-Assessment_Cases'!$E$4:$E$657,"CM-9",'Self-Assessment_Cases'!$I4:$I657,"In Progress - Configuration")</f>
        <v>0</v>
      </c>
      <c r="G47" s="65">
        <f t="shared" si="2"/>
        <v>0</v>
      </c>
      <c r="H47" s="48">
        <f>COUNTIFS('Self-Assessment_Cases'!$E$4:$E$657,"CM-9",'Self-Assessment_Cases'!$I4:$I657,"In Progress - Installation/Upgrade")</f>
        <v>0</v>
      </c>
      <c r="I47" s="66">
        <f t="shared" si="3"/>
        <v>0</v>
      </c>
      <c r="J47" s="49">
        <f>COUNTIFS('Self-Assessment_Cases'!$E$4:$E$657,"CM-9",'Self-Assessment_Cases'!$I4:$I657,"Not Implemented - Compensating Control")</f>
        <v>0</v>
      </c>
      <c r="K47" s="67">
        <f t="shared" si="4"/>
        <v>0</v>
      </c>
      <c r="L47" s="50">
        <f>COUNTIFS('Self-Assessment_Cases'!$E$4:$E$657,"CM-9",'Self-Assessment_Cases'!$I4:$I657,"Not Implemented - Risk Negligible")</f>
        <v>0</v>
      </c>
      <c r="M47" s="56">
        <f t="shared" si="5"/>
        <v>0</v>
      </c>
      <c r="N47" s="57">
        <f>COUNTIFS('Self-Assessment_Cases'!$E$4:$E$657,"CM-9",'Self-Assessment_Cases'!$I4:$I657,"Not Implemented - Risk Accepted")</f>
        <v>0</v>
      </c>
      <c r="O47" s="57">
        <f t="shared" si="6"/>
        <v>0</v>
      </c>
      <c r="P47" s="58">
        <f>COUNTIFS('Self-Assessment_Cases'!$E$4:$E$657,"CM-9",'Self-Assessment_Cases'!$I4:$I657,"Not Implemented - Planned")</f>
        <v>0</v>
      </c>
      <c r="Q47" s="58">
        <f t="shared" si="7"/>
        <v>0</v>
      </c>
      <c r="R47" s="59">
        <f>COUNTIFS('Self-Assessment_Cases'!$E$4:$E$657,"CM-9",'Self-Assessment_Cases'!$I4:$I657,"Not Implemented - Unplanned")</f>
        <v>0</v>
      </c>
      <c r="S47" s="59">
        <f t="shared" si="8"/>
        <v>0</v>
      </c>
      <c r="T47" s="60">
        <f>COUNTIFS('Self-Assessment_Cases'!$E$4:$E$657,"CM-9",'Self-Assessment_Cases'!$I4:$I657,"Not Applicable")</f>
        <v>0</v>
      </c>
      <c r="U47" s="61"/>
      <c r="V47" s="68" t="e">
        <f t="shared" si="9"/>
        <v>#DIV/0!</v>
      </c>
      <c r="W47" s="44">
        <f t="shared" si="10"/>
        <v>0</v>
      </c>
    </row>
    <row r="48" spans="1:23" ht="15" customHeight="1" x14ac:dyDescent="0.2">
      <c r="A48" s="45" t="s">
        <v>82</v>
      </c>
      <c r="B48" s="46">
        <f>COUNTIFS('Self-Assessment_Cases'!$E$4:$E$657,"CP-1",'Self-Assessment_Cases'!$I4:$I657,"Implemented")</f>
        <v>0</v>
      </c>
      <c r="C48" s="63">
        <f t="shared" si="0"/>
        <v>0</v>
      </c>
      <c r="D48" s="47">
        <f>COUNTIFS('Self-Assessment_Cases'!$E$4:$E$657,"CP-1",'Self-Assessment_Cases'!$I4:$I657,"In Progress - Administrative")</f>
        <v>0</v>
      </c>
      <c r="E48" s="64">
        <f t="shared" si="1"/>
        <v>0</v>
      </c>
      <c r="F48" s="62">
        <f>COUNTIFS('Self-Assessment_Cases'!$E$4:$E$657,"CP-1",'Self-Assessment_Cases'!$I4:$I657,"In Progress - Configuration")</f>
        <v>0</v>
      </c>
      <c r="G48" s="65">
        <f t="shared" si="2"/>
        <v>0</v>
      </c>
      <c r="H48" s="48">
        <f>COUNTIFS('Self-Assessment_Cases'!$E$4:$E$657,"CP-1",'Self-Assessment_Cases'!$I4:$I657,"In Progress - Installation/Upgrade")</f>
        <v>0</v>
      </c>
      <c r="I48" s="66">
        <f t="shared" si="3"/>
        <v>0</v>
      </c>
      <c r="J48" s="49">
        <f>COUNTIFS('Self-Assessment_Cases'!$E$4:$E$657,"CP-1",'Self-Assessment_Cases'!$I4:$I657,"Not Implemented - Compensating Control")</f>
        <v>0</v>
      </c>
      <c r="K48" s="67">
        <f t="shared" si="4"/>
        <v>0</v>
      </c>
      <c r="L48" s="50">
        <f>COUNTIFS('Self-Assessment_Cases'!$E$4:$E$657,"CP-1",'Self-Assessment_Cases'!$I4:$I657,"Not Implemented - Risk Negligible")</f>
        <v>0</v>
      </c>
      <c r="M48" s="56">
        <f t="shared" si="5"/>
        <v>0</v>
      </c>
      <c r="N48" s="57">
        <f>COUNTIFS('Self-Assessment_Cases'!$E$4:$E$657,"CP-1",'Self-Assessment_Cases'!$I4:$I657,"Not Implemented - Risk Accepted")</f>
        <v>0</v>
      </c>
      <c r="O48" s="57">
        <f t="shared" si="6"/>
        <v>0</v>
      </c>
      <c r="P48" s="58">
        <f>COUNTIFS('Self-Assessment_Cases'!$E$4:$E$657,"CP-1",'Self-Assessment_Cases'!$I4:$I657,"Not Implemented - Planned")</f>
        <v>0</v>
      </c>
      <c r="Q48" s="58">
        <f t="shared" si="7"/>
        <v>0</v>
      </c>
      <c r="R48" s="59">
        <f>COUNTIFS('Self-Assessment_Cases'!$E$4:$E$657,"CP-1",'Self-Assessment_Cases'!$I4:$I657,"Not Implemented - Unplanned")</f>
        <v>0</v>
      </c>
      <c r="S48" s="59">
        <f t="shared" si="8"/>
        <v>0</v>
      </c>
      <c r="T48" s="60">
        <f>COUNTIFS('Self-Assessment_Cases'!$E$4:$E$657,"CP-1",'Self-Assessment_Cases'!$I4:$I657,"Not Applicable")</f>
        <v>0</v>
      </c>
      <c r="U48" s="61"/>
      <c r="V48" s="68" t="e">
        <f t="shared" si="9"/>
        <v>#DIV/0!</v>
      </c>
      <c r="W48" s="44">
        <f t="shared" si="10"/>
        <v>0</v>
      </c>
    </row>
    <row r="49" spans="1:23" ht="15" customHeight="1" x14ac:dyDescent="0.2">
      <c r="A49" s="45" t="s">
        <v>84</v>
      </c>
      <c r="B49" s="46">
        <f>COUNTIFS('Self-Assessment_Cases'!$E$4:$E$657,"CP-2",'Self-Assessment_Cases'!$I4:$I657,"Implemented")</f>
        <v>0</v>
      </c>
      <c r="C49" s="63">
        <f t="shared" si="0"/>
        <v>0</v>
      </c>
      <c r="D49" s="47">
        <f>COUNTIFS('Self-Assessment_Cases'!$E$4:$E$657,"CP-2",'Self-Assessment_Cases'!$I4:$I657,"In Progress - Administrative")</f>
        <v>0</v>
      </c>
      <c r="E49" s="64">
        <f t="shared" si="1"/>
        <v>0</v>
      </c>
      <c r="F49" s="62">
        <f>COUNTIFS('Self-Assessment_Cases'!$E$4:$E$657,"CP-2",'Self-Assessment_Cases'!$I4:$I657,"In Progress - Configuration")</f>
        <v>0</v>
      </c>
      <c r="G49" s="65">
        <f t="shared" si="2"/>
        <v>0</v>
      </c>
      <c r="H49" s="48">
        <f>COUNTIFS('Self-Assessment_Cases'!$E$4:$E$657,"CP-2",'Self-Assessment_Cases'!$I4:$I657,"In Progress - Installation/Upgrade")</f>
        <v>0</v>
      </c>
      <c r="I49" s="66">
        <f t="shared" si="3"/>
        <v>0</v>
      </c>
      <c r="J49" s="49">
        <f>COUNTIFS('Self-Assessment_Cases'!$E$4:$E$657,"CP-2",'Self-Assessment_Cases'!$I4:$I657,"Not Implemented - Compensating Control")</f>
        <v>0</v>
      </c>
      <c r="K49" s="67">
        <f t="shared" si="4"/>
        <v>0</v>
      </c>
      <c r="L49" s="50">
        <f>COUNTIFS('Self-Assessment_Cases'!$E$4:$E$657,"CP-2",'Self-Assessment_Cases'!$I4:$I657,"Not Implemented - Risk Negligible")</f>
        <v>0</v>
      </c>
      <c r="M49" s="56">
        <f t="shared" si="5"/>
        <v>0</v>
      </c>
      <c r="N49" s="57">
        <f>COUNTIFS('Self-Assessment_Cases'!$E$4:$E$657,"CP-2",'Self-Assessment_Cases'!$I4:$I657,"Not Implemented - Risk Accepted")</f>
        <v>0</v>
      </c>
      <c r="O49" s="57">
        <f t="shared" si="6"/>
        <v>0</v>
      </c>
      <c r="P49" s="58">
        <f>COUNTIFS('Self-Assessment_Cases'!$E$4:$E$657,"CP-2",'Self-Assessment_Cases'!$I4:$I657,"Not Implemented - Planned")</f>
        <v>0</v>
      </c>
      <c r="Q49" s="58">
        <f t="shared" si="7"/>
        <v>0</v>
      </c>
      <c r="R49" s="59">
        <f>COUNTIFS('Self-Assessment_Cases'!$E$4:$E$657,"CP-2",'Self-Assessment_Cases'!$I4:$I657,"Not Implemented - Unplanned")</f>
        <v>0</v>
      </c>
      <c r="S49" s="59">
        <f t="shared" si="8"/>
        <v>0</v>
      </c>
      <c r="T49" s="60">
        <f>COUNTIFS('Self-Assessment_Cases'!$E$4:$E$657,"CP-2",'Self-Assessment_Cases'!$I4:$I657,"Not Applicable")</f>
        <v>0</v>
      </c>
      <c r="U49" s="61"/>
      <c r="V49" s="68" t="e">
        <f t="shared" si="9"/>
        <v>#DIV/0!</v>
      </c>
      <c r="W49" s="44">
        <f t="shared" si="10"/>
        <v>0</v>
      </c>
    </row>
    <row r="50" spans="1:23" x14ac:dyDescent="0.2">
      <c r="A50" s="45" t="s">
        <v>86</v>
      </c>
      <c r="B50" s="46">
        <f>COUNTIFS('Self-Assessment_Cases'!$E$4:$E$657,"IA-1",'Self-Assessment_Cases'!$I4:$I657,"Implemented")</f>
        <v>0</v>
      </c>
      <c r="C50" s="63">
        <f t="shared" si="0"/>
        <v>0</v>
      </c>
      <c r="D50" s="47">
        <f>COUNTIFS('Self-Assessment_Cases'!$E$4:$E$657,"IA-1",'Self-Assessment_Cases'!$I4:$I657,"In Progress - Administrative")</f>
        <v>0</v>
      </c>
      <c r="E50" s="64">
        <f t="shared" si="1"/>
        <v>0</v>
      </c>
      <c r="F50" s="62">
        <f>COUNTIFS('Self-Assessment_Cases'!$E$4:$E$657,"IA-1",'Self-Assessment_Cases'!$I4:$I657,"In Progress - Configuration")</f>
        <v>0</v>
      </c>
      <c r="G50" s="65">
        <f t="shared" si="2"/>
        <v>0</v>
      </c>
      <c r="H50" s="48">
        <f>COUNTIFS('Self-Assessment_Cases'!$E$4:$E$657,"IA-1",'Self-Assessment_Cases'!$I4:$I657,"In Progress - Installation/Upgrade")</f>
        <v>0</v>
      </c>
      <c r="I50" s="66">
        <f t="shared" si="3"/>
        <v>0</v>
      </c>
      <c r="J50" s="49">
        <f>COUNTIFS('Self-Assessment_Cases'!$E$4:$E$657,"IA-1",'Self-Assessment_Cases'!$I4:$I657,"Not Implemented - Compensating Control")</f>
        <v>0</v>
      </c>
      <c r="K50" s="67">
        <f t="shared" si="4"/>
        <v>0</v>
      </c>
      <c r="L50" s="50">
        <f>COUNTIFS('Self-Assessment_Cases'!$E$4:$E$657,"IA-1",'Self-Assessment_Cases'!$I4:$I657,"Not Implemented - Risk Negligible")</f>
        <v>0</v>
      </c>
      <c r="M50" s="56">
        <f t="shared" si="5"/>
        <v>0</v>
      </c>
      <c r="N50" s="57">
        <f>COUNTIFS('Self-Assessment_Cases'!$E$4:$E$657,"IA-1",'Self-Assessment_Cases'!$I4:$I657,"Not Implemented - Risk Accepted")</f>
        <v>0</v>
      </c>
      <c r="O50" s="57">
        <f t="shared" si="6"/>
        <v>0</v>
      </c>
      <c r="P50" s="58">
        <f>COUNTIFS('Self-Assessment_Cases'!$E$4:$E$657,"IA-1",'Self-Assessment_Cases'!$I4:$I657,"Not Implemented - Planned")</f>
        <v>0</v>
      </c>
      <c r="Q50" s="58">
        <f t="shared" si="7"/>
        <v>0</v>
      </c>
      <c r="R50" s="59">
        <f>COUNTIFS('Self-Assessment_Cases'!$E$4:$E$657,"IA-1",'Self-Assessment_Cases'!$I4:$I657,"Not Implemented - Unplanned")</f>
        <v>0</v>
      </c>
      <c r="S50" s="59">
        <f t="shared" si="8"/>
        <v>0</v>
      </c>
      <c r="T50" s="60">
        <f>COUNTIFS('Self-Assessment_Cases'!$E$4:$E$657,"IA-1",'Self-Assessment_Cases'!$I4:$I657,"Not Applicable")</f>
        <v>0</v>
      </c>
      <c r="U50" s="61"/>
      <c r="V50" s="68" t="e">
        <f t="shared" si="9"/>
        <v>#DIV/0!</v>
      </c>
      <c r="W50" s="44">
        <f t="shared" si="10"/>
        <v>0</v>
      </c>
    </row>
    <row r="51" spans="1:23" ht="15" customHeight="1" x14ac:dyDescent="0.2">
      <c r="A51" s="45" t="s">
        <v>224</v>
      </c>
      <c r="B51" s="46">
        <f>COUNTIFS('Self-Assessment_Cases'!$E$4:$E$657,"IA-10",'Self-Assessment_Cases'!$I4:$I657,"Implemented")</f>
        <v>0</v>
      </c>
      <c r="C51" s="63">
        <f t="shared" si="0"/>
        <v>0</v>
      </c>
      <c r="D51" s="47">
        <f>COUNTIFS('Self-Assessment_Cases'!$E$4:$E$657,"IA-10",'Self-Assessment_Cases'!$I4:$I657,"In Progress - Administrative")</f>
        <v>0</v>
      </c>
      <c r="E51" s="64">
        <f t="shared" si="1"/>
        <v>0</v>
      </c>
      <c r="F51" s="62">
        <f>COUNTIFS('Self-Assessment_Cases'!$E$4:$E$657,"IA-10",'Self-Assessment_Cases'!$I4:$I657,"In Progress - Configuration")</f>
        <v>0</v>
      </c>
      <c r="G51" s="65">
        <f t="shared" si="2"/>
        <v>0</v>
      </c>
      <c r="H51" s="48">
        <f>COUNTIFS('Self-Assessment_Cases'!$E$4:$E$657,"IA-10",'Self-Assessment_Cases'!$I4:$I657,"In Progress - Installation/Upgrade")</f>
        <v>0</v>
      </c>
      <c r="I51" s="66">
        <f t="shared" si="3"/>
        <v>0</v>
      </c>
      <c r="J51" s="49">
        <f>COUNTIFS('Self-Assessment_Cases'!$E$4:$E$657,"IA-10",'Self-Assessment_Cases'!$I4:$I657,"Not Implemented - Compensating Control")</f>
        <v>0</v>
      </c>
      <c r="K51" s="67">
        <f t="shared" si="4"/>
        <v>0</v>
      </c>
      <c r="L51" s="50">
        <f>COUNTIFS('Self-Assessment_Cases'!$E$4:$E$657,"IA-10",'Self-Assessment_Cases'!$I4:$I657,"Not Implemented - Risk Negligible")</f>
        <v>0</v>
      </c>
      <c r="M51" s="56">
        <f t="shared" si="5"/>
        <v>0</v>
      </c>
      <c r="N51" s="57">
        <f>COUNTIFS('Self-Assessment_Cases'!$E$4:$E$657,"IA-10",'Self-Assessment_Cases'!$I4:$I657,"Not Implemented - Risk Accepted")</f>
        <v>0</v>
      </c>
      <c r="O51" s="57">
        <f t="shared" si="6"/>
        <v>0</v>
      </c>
      <c r="P51" s="58">
        <f>COUNTIFS('Self-Assessment_Cases'!$E$4:$E$657,"IA-10",'Self-Assessment_Cases'!$I4:$I657,"Not Implemented - Planned")</f>
        <v>0</v>
      </c>
      <c r="Q51" s="58">
        <f t="shared" si="7"/>
        <v>0</v>
      </c>
      <c r="R51" s="59">
        <f>COUNTIFS('Self-Assessment_Cases'!$E$4:$E$657,"IA-10",'Self-Assessment_Cases'!$I4:$I657,"Not Implemented - Unplanned")</f>
        <v>0</v>
      </c>
      <c r="S51" s="59">
        <f t="shared" si="8"/>
        <v>0</v>
      </c>
      <c r="T51" s="60">
        <f>COUNTIFS('Self-Assessment_Cases'!$E$4:$E$657,"IA-10",'Self-Assessment_Cases'!$I4:$I657,"Not Applicable")</f>
        <v>0</v>
      </c>
      <c r="U51" s="61"/>
      <c r="V51" s="68" t="e">
        <f t="shared" si="9"/>
        <v>#DIV/0!</v>
      </c>
      <c r="W51" s="44">
        <f t="shared" si="10"/>
        <v>0</v>
      </c>
    </row>
    <row r="52" spans="1:23" ht="15" customHeight="1" x14ac:dyDescent="0.2">
      <c r="A52" s="45" t="s">
        <v>225</v>
      </c>
      <c r="B52" s="46">
        <f>COUNTIFS('Self-Assessment_Cases'!$E$4:$E$657,"IA-11",'Self-Assessment_Cases'!$I4:$I657,"Implemented")</f>
        <v>0</v>
      </c>
      <c r="C52" s="63">
        <f t="shared" si="0"/>
        <v>0</v>
      </c>
      <c r="D52" s="47">
        <f>COUNTIFS('Self-Assessment_Cases'!$E$4:$E$657,"IA-11",'Self-Assessment_Cases'!$I4:$I657,"In Progress - Administrative")</f>
        <v>0</v>
      </c>
      <c r="E52" s="64">
        <f t="shared" si="1"/>
        <v>0</v>
      </c>
      <c r="F52" s="62">
        <f>COUNTIFS('Self-Assessment_Cases'!$E$4:$E$657,"IA-11",'Self-Assessment_Cases'!$I4:$I657,"In Progress - Configuration")</f>
        <v>0</v>
      </c>
      <c r="G52" s="65">
        <f t="shared" si="2"/>
        <v>0</v>
      </c>
      <c r="H52" s="48">
        <f>COUNTIFS('Self-Assessment_Cases'!$E$4:$E$657,"IA-11",'Self-Assessment_Cases'!$I4:$I657,"In Progress - Installation/Upgrade")</f>
        <v>0</v>
      </c>
      <c r="I52" s="66">
        <f t="shared" si="3"/>
        <v>0</v>
      </c>
      <c r="J52" s="49">
        <f>COUNTIFS('Self-Assessment_Cases'!$E$4:$E$657,"IA-11",'Self-Assessment_Cases'!$I4:$I657,"Not Implemented - Compensating Control")</f>
        <v>0</v>
      </c>
      <c r="K52" s="67">
        <f t="shared" si="4"/>
        <v>0</v>
      </c>
      <c r="L52" s="50">
        <f>COUNTIFS('Self-Assessment_Cases'!$E$4:$E$657,"IA-11",'Self-Assessment_Cases'!$I4:$I657,"Not Implemented - Risk Negligible")</f>
        <v>0</v>
      </c>
      <c r="M52" s="56">
        <f t="shared" si="5"/>
        <v>0</v>
      </c>
      <c r="N52" s="57">
        <f>COUNTIFS('Self-Assessment_Cases'!$E$4:$E$657,"IA-11",'Self-Assessment_Cases'!$I4:$I657,"Not Implemented - Risk Accepted")</f>
        <v>0</v>
      </c>
      <c r="O52" s="57">
        <f t="shared" si="6"/>
        <v>0</v>
      </c>
      <c r="P52" s="58">
        <f>COUNTIFS('Self-Assessment_Cases'!$E$4:$E$657,"IA-11",'Self-Assessment_Cases'!$I4:$I657,"Not Implemented - Planned")</f>
        <v>0</v>
      </c>
      <c r="Q52" s="58">
        <f t="shared" si="7"/>
        <v>0</v>
      </c>
      <c r="R52" s="59">
        <f>COUNTIFS('Self-Assessment_Cases'!$E$4:$E$657,"IA-11",'Self-Assessment_Cases'!$I4:$I657,"Not Implemented - Unplanned")</f>
        <v>0</v>
      </c>
      <c r="S52" s="59">
        <f t="shared" si="8"/>
        <v>0</v>
      </c>
      <c r="T52" s="60">
        <f>COUNTIFS('Self-Assessment_Cases'!$E$4:$E$657,"IA-11",'Self-Assessment_Cases'!$I4:$I657,"Not Applicable")</f>
        <v>0</v>
      </c>
      <c r="U52" s="61"/>
      <c r="V52" s="68" t="e">
        <f t="shared" si="9"/>
        <v>#DIV/0!</v>
      </c>
      <c r="W52" s="44">
        <f t="shared" si="10"/>
        <v>0</v>
      </c>
    </row>
    <row r="53" spans="1:23" x14ac:dyDescent="0.2">
      <c r="A53" s="45" t="s">
        <v>88</v>
      </c>
      <c r="B53" s="46">
        <f>COUNTIFS('Self-Assessment_Cases'!$E$4:$E$657,"IA-2",'Self-Assessment_Cases'!$I4:$I657,"Implemented")</f>
        <v>0</v>
      </c>
      <c r="C53" s="63">
        <f t="shared" si="0"/>
        <v>0</v>
      </c>
      <c r="D53" s="47">
        <f>COUNTIFS('Self-Assessment_Cases'!$E$4:$E$657,"IA-2",'Self-Assessment_Cases'!$I4:$I657,"In Progress - Administrative")</f>
        <v>0</v>
      </c>
      <c r="E53" s="64">
        <f t="shared" si="1"/>
        <v>0</v>
      </c>
      <c r="F53" s="62">
        <f>COUNTIFS('Self-Assessment_Cases'!$E$4:$E$657,"IA-2",'Self-Assessment_Cases'!$I4:$I657,"In Progress - Configuration")</f>
        <v>0</v>
      </c>
      <c r="G53" s="65">
        <f t="shared" si="2"/>
        <v>0</v>
      </c>
      <c r="H53" s="48">
        <f>COUNTIFS('Self-Assessment_Cases'!$E$4:$E$657,"IA-2",'Self-Assessment_Cases'!$I4:$I657,"In Progress - Installation/Upgrade")</f>
        <v>0</v>
      </c>
      <c r="I53" s="66">
        <f t="shared" si="3"/>
        <v>0</v>
      </c>
      <c r="J53" s="49">
        <f>COUNTIFS('Self-Assessment_Cases'!$E$4:$E$657,"IA-2",'Self-Assessment_Cases'!$I4:$I657,"Not Implemented - Compensating Control")</f>
        <v>0</v>
      </c>
      <c r="K53" s="67">
        <f t="shared" si="4"/>
        <v>0</v>
      </c>
      <c r="L53" s="50">
        <f>COUNTIFS('Self-Assessment_Cases'!$E$4:$E$657,"IA-2",'Self-Assessment_Cases'!$I4:$I657,"Not Implemented - Risk Negligible")</f>
        <v>0</v>
      </c>
      <c r="M53" s="56">
        <f t="shared" si="5"/>
        <v>0</v>
      </c>
      <c r="N53" s="57">
        <f>COUNTIFS('Self-Assessment_Cases'!$E$4:$E$657,"IA-2",'Self-Assessment_Cases'!$I4:$I657,"Not Implemented - Risk Accepted")</f>
        <v>0</v>
      </c>
      <c r="O53" s="57">
        <f t="shared" si="6"/>
        <v>0</v>
      </c>
      <c r="P53" s="58">
        <f>COUNTIFS('Self-Assessment_Cases'!$E$4:$E$657,"IA-2",'Self-Assessment_Cases'!$I4:$I657,"Not Implemented - Planned")</f>
        <v>0</v>
      </c>
      <c r="Q53" s="58">
        <f t="shared" si="7"/>
        <v>0</v>
      </c>
      <c r="R53" s="59">
        <f>COUNTIFS('Self-Assessment_Cases'!$E$4:$E$657,"IA-2",'Self-Assessment_Cases'!$I4:$I657,"Not Implemented - Unplanned")</f>
        <v>0</v>
      </c>
      <c r="S53" s="59">
        <f t="shared" si="8"/>
        <v>0</v>
      </c>
      <c r="T53" s="60">
        <f>COUNTIFS('Self-Assessment_Cases'!$E$4:$E$657,"IA-2",'Self-Assessment_Cases'!$I4:$I657,"Not Applicable")</f>
        <v>0</v>
      </c>
      <c r="U53" s="61"/>
      <c r="V53" s="68" t="e">
        <f t="shared" si="9"/>
        <v>#DIV/0!</v>
      </c>
      <c r="W53" s="44">
        <f t="shared" si="10"/>
        <v>0</v>
      </c>
    </row>
    <row r="54" spans="1:23" ht="15" customHeight="1" x14ac:dyDescent="0.2">
      <c r="A54" s="45" t="s">
        <v>90</v>
      </c>
      <c r="B54" s="46">
        <f>COUNTIFS('Self-Assessment_Cases'!$E$4:$E$657,"IA-3",'Self-Assessment_Cases'!$I4:$I657,"Implemented")</f>
        <v>0</v>
      </c>
      <c r="C54" s="63">
        <f t="shared" si="0"/>
        <v>0</v>
      </c>
      <c r="D54" s="47">
        <f>COUNTIFS('Self-Assessment_Cases'!$E$4:$E$657,"IA-3",'Self-Assessment_Cases'!$I4:$I657,"In Progress - Administrative")</f>
        <v>0</v>
      </c>
      <c r="E54" s="64">
        <f t="shared" si="1"/>
        <v>0</v>
      </c>
      <c r="F54" s="62">
        <f>COUNTIFS('Self-Assessment_Cases'!$E$4:$E$657,"IA-3",'Self-Assessment_Cases'!$I4:$I657,"In Progress - Configuration")</f>
        <v>0</v>
      </c>
      <c r="G54" s="65">
        <f t="shared" si="2"/>
        <v>0</v>
      </c>
      <c r="H54" s="48">
        <f>COUNTIFS('Self-Assessment_Cases'!$E$4:$E$657,"IA-3",'Self-Assessment_Cases'!$I4:$I657,"In Progress - Installation/Upgrade")</f>
        <v>0</v>
      </c>
      <c r="I54" s="66">
        <f t="shared" si="3"/>
        <v>0</v>
      </c>
      <c r="J54" s="49">
        <f>COUNTIFS('Self-Assessment_Cases'!$E$4:$E$657,"IA-3",'Self-Assessment_Cases'!$I4:$I657,"Not Implemented - Compensating Control")</f>
        <v>0</v>
      </c>
      <c r="K54" s="67">
        <f t="shared" si="4"/>
        <v>0</v>
      </c>
      <c r="L54" s="50">
        <f>COUNTIFS('Self-Assessment_Cases'!$E$4:$E$657,"IA-3",'Self-Assessment_Cases'!$I4:$I657,"Not Implemented - Risk Negligible")</f>
        <v>0</v>
      </c>
      <c r="M54" s="56">
        <f t="shared" si="5"/>
        <v>0</v>
      </c>
      <c r="N54" s="57">
        <f>COUNTIFS('Self-Assessment_Cases'!$E$4:$E$657,"IA-3",'Self-Assessment_Cases'!$I4:$I657,"Not Implemented - Risk Accepted")</f>
        <v>0</v>
      </c>
      <c r="O54" s="57">
        <f t="shared" si="6"/>
        <v>0</v>
      </c>
      <c r="P54" s="58">
        <f>COUNTIFS('Self-Assessment_Cases'!$E$4:$E$657,"IA-3",'Self-Assessment_Cases'!$I4:$I657,"Not Implemented - Planned")</f>
        <v>0</v>
      </c>
      <c r="Q54" s="58">
        <f t="shared" si="7"/>
        <v>0</v>
      </c>
      <c r="R54" s="59">
        <f>COUNTIFS('Self-Assessment_Cases'!$E$4:$E$657,"IA-3",'Self-Assessment_Cases'!$I4:$I657,"Not Implemented - Unplanned")</f>
        <v>0</v>
      </c>
      <c r="S54" s="59">
        <f t="shared" si="8"/>
        <v>0</v>
      </c>
      <c r="T54" s="60">
        <f>COUNTIFS('Self-Assessment_Cases'!$E$4:$E$657,"IA-3",'Self-Assessment_Cases'!$I4:$I657,"Not Applicable")</f>
        <v>0</v>
      </c>
      <c r="U54" s="61"/>
      <c r="V54" s="68" t="e">
        <f t="shared" si="9"/>
        <v>#DIV/0!</v>
      </c>
      <c r="W54" s="44">
        <f t="shared" si="10"/>
        <v>0</v>
      </c>
    </row>
    <row r="55" spans="1:23" ht="15" customHeight="1" x14ac:dyDescent="0.2">
      <c r="A55" s="45" t="s">
        <v>92</v>
      </c>
      <c r="B55" s="46">
        <f>COUNTIFS('Self-Assessment_Cases'!$E$4:$E$657,"IA-4",'Self-Assessment_Cases'!$I4:$I657,"Implemented")</f>
        <v>0</v>
      </c>
      <c r="C55" s="63">
        <f t="shared" si="0"/>
        <v>0</v>
      </c>
      <c r="D55" s="47">
        <f>COUNTIFS('Self-Assessment_Cases'!$E$4:$E$657,"IA-4",'Self-Assessment_Cases'!$I4:$I657,"In Progress - Administrative")</f>
        <v>0</v>
      </c>
      <c r="E55" s="64">
        <f t="shared" si="1"/>
        <v>0</v>
      </c>
      <c r="F55" s="62">
        <f>COUNTIFS('Self-Assessment_Cases'!$E$4:$E$657,"IA-4",'Self-Assessment_Cases'!$I4:$I657,"In Progress - Configuration")</f>
        <v>0</v>
      </c>
      <c r="G55" s="65">
        <f t="shared" si="2"/>
        <v>0</v>
      </c>
      <c r="H55" s="48">
        <f>COUNTIFS('Self-Assessment_Cases'!$E$4:$E$657,"IA-4",'Self-Assessment_Cases'!$I4:$I657,"In Progress - Installation/Upgrade")</f>
        <v>0</v>
      </c>
      <c r="I55" s="66">
        <f t="shared" si="3"/>
        <v>0</v>
      </c>
      <c r="J55" s="49">
        <f>COUNTIFS('Self-Assessment_Cases'!$E$4:$E$657,"IA-4",'Self-Assessment_Cases'!$I4:$I657,"Not Implemented - Compensating Control")</f>
        <v>0</v>
      </c>
      <c r="K55" s="67">
        <f t="shared" si="4"/>
        <v>0</v>
      </c>
      <c r="L55" s="50">
        <f>COUNTIFS('Self-Assessment_Cases'!$E$4:$E$657,"IA-4",'Self-Assessment_Cases'!$I4:$I657,"Not Implemented - Risk Negligible")</f>
        <v>0</v>
      </c>
      <c r="M55" s="56">
        <f t="shared" si="5"/>
        <v>0</v>
      </c>
      <c r="N55" s="57">
        <f>COUNTIFS('Self-Assessment_Cases'!$E$4:$E$657,"IA-4",'Self-Assessment_Cases'!$I4:$I657,"Not Implemented - Risk Accepted")</f>
        <v>0</v>
      </c>
      <c r="O55" s="57">
        <f t="shared" si="6"/>
        <v>0</v>
      </c>
      <c r="P55" s="58">
        <f>COUNTIFS('Self-Assessment_Cases'!$E$4:$E$657,"IA-4",'Self-Assessment_Cases'!$I4:$I657,"Not Implemented - Planned")</f>
        <v>0</v>
      </c>
      <c r="Q55" s="58">
        <f t="shared" si="7"/>
        <v>0</v>
      </c>
      <c r="R55" s="59">
        <f>COUNTIFS('Self-Assessment_Cases'!$E$4:$E$657,"IA-4",'Self-Assessment_Cases'!$I4:$I657,"Not Implemented - Unplanned")</f>
        <v>0</v>
      </c>
      <c r="S55" s="59">
        <f t="shared" si="8"/>
        <v>0</v>
      </c>
      <c r="T55" s="60">
        <f>COUNTIFS('Self-Assessment_Cases'!$E$4:$E$657,"IA-4",'Self-Assessment_Cases'!$I4:$I657,"Not Applicable")</f>
        <v>0</v>
      </c>
      <c r="U55" s="61"/>
      <c r="V55" s="68" t="e">
        <f t="shared" si="9"/>
        <v>#DIV/0!</v>
      </c>
      <c r="W55" s="44">
        <f t="shared" si="10"/>
        <v>0</v>
      </c>
    </row>
    <row r="56" spans="1:23" ht="15" customHeight="1" x14ac:dyDescent="0.2">
      <c r="A56" s="45" t="s">
        <v>94</v>
      </c>
      <c r="B56" s="46">
        <f>COUNTIFS('Self-Assessment_Cases'!$E$4:$E$657,"IA-5",'Self-Assessment_Cases'!$I4:$I657,"Implemented")</f>
        <v>0</v>
      </c>
      <c r="C56" s="63">
        <f t="shared" si="0"/>
        <v>0</v>
      </c>
      <c r="D56" s="47">
        <f>COUNTIFS('Self-Assessment_Cases'!$E$4:$E$657,"IA-5",'Self-Assessment_Cases'!$I4:$I657,"In Progress - Administrative")</f>
        <v>0</v>
      </c>
      <c r="E56" s="64">
        <f t="shared" si="1"/>
        <v>0</v>
      </c>
      <c r="F56" s="62">
        <f>COUNTIFS('Self-Assessment_Cases'!$E$4:$E$657,"IA-5",'Self-Assessment_Cases'!$I4:$I657,"In Progress - Configuration")</f>
        <v>0</v>
      </c>
      <c r="G56" s="65">
        <f t="shared" si="2"/>
        <v>0</v>
      </c>
      <c r="H56" s="48">
        <f>COUNTIFS('Self-Assessment_Cases'!$E$4:$E$657,"IA-5",'Self-Assessment_Cases'!$I4:$I657,"In Progress - Installation/Upgrade")</f>
        <v>0</v>
      </c>
      <c r="I56" s="66">
        <f t="shared" si="3"/>
        <v>0</v>
      </c>
      <c r="J56" s="49">
        <f>COUNTIFS('Self-Assessment_Cases'!$E$4:$E$657,"IA-5",'Self-Assessment_Cases'!$I4:$I657,"Not Implemented - Compensating Control")</f>
        <v>0</v>
      </c>
      <c r="K56" s="67">
        <f t="shared" si="4"/>
        <v>0</v>
      </c>
      <c r="L56" s="50">
        <f>COUNTIFS('Self-Assessment_Cases'!$E$4:$E$657,"IA-5",'Self-Assessment_Cases'!$I4:$I657,"Not Implemented - Risk Negligible")</f>
        <v>0</v>
      </c>
      <c r="M56" s="56">
        <f t="shared" si="5"/>
        <v>0</v>
      </c>
      <c r="N56" s="57">
        <f>COUNTIFS('Self-Assessment_Cases'!$E$4:$E$657,"IA-5",'Self-Assessment_Cases'!$I4:$I657,"Not Implemented - Risk Accepted")</f>
        <v>0</v>
      </c>
      <c r="O56" s="57">
        <f t="shared" si="6"/>
        <v>0</v>
      </c>
      <c r="P56" s="58">
        <f>COUNTIFS('Self-Assessment_Cases'!$E$4:$E$657,"IA-5",'Self-Assessment_Cases'!$I4:$I657,"Not Implemented - Planned")</f>
        <v>0</v>
      </c>
      <c r="Q56" s="58">
        <f t="shared" si="7"/>
        <v>0</v>
      </c>
      <c r="R56" s="59">
        <f>COUNTIFS('Self-Assessment_Cases'!$E$4:$E$657,"IA-5",'Self-Assessment_Cases'!$I4:$I657,"Not Implemented - Unplanned")</f>
        <v>0</v>
      </c>
      <c r="S56" s="59">
        <f t="shared" si="8"/>
        <v>0</v>
      </c>
      <c r="T56" s="60">
        <f>COUNTIFS('Self-Assessment_Cases'!$E$4:$E$657,"IA-5",'Self-Assessment_Cases'!$I4:$I657,"Not Applicable")</f>
        <v>0</v>
      </c>
      <c r="U56" s="61"/>
      <c r="V56" s="68" t="e">
        <f t="shared" si="9"/>
        <v>#DIV/0!</v>
      </c>
      <c r="W56" s="44">
        <f t="shared" si="10"/>
        <v>0</v>
      </c>
    </row>
    <row r="57" spans="1:23" ht="15" customHeight="1" x14ac:dyDescent="0.2">
      <c r="A57" s="45" t="s">
        <v>96</v>
      </c>
      <c r="B57" s="46">
        <f>COUNTIFS('Self-Assessment_Cases'!$E$4:$E$657,"IA-6",'Self-Assessment_Cases'!$I4:$I657,"Implemented")</f>
        <v>0</v>
      </c>
      <c r="C57" s="63">
        <f t="shared" si="0"/>
        <v>0</v>
      </c>
      <c r="D57" s="47">
        <f>COUNTIFS('Self-Assessment_Cases'!$E$4:$E$657,"IA-6",'Self-Assessment_Cases'!$I4:$I657,"In Progress - Administrative")</f>
        <v>0</v>
      </c>
      <c r="E57" s="64">
        <f t="shared" si="1"/>
        <v>0</v>
      </c>
      <c r="F57" s="62">
        <f>COUNTIFS('Self-Assessment_Cases'!$E$4:$E$657,"IA-6",'Self-Assessment_Cases'!$I4:$I657,"In Progress - Configuration")</f>
        <v>0</v>
      </c>
      <c r="G57" s="65">
        <f t="shared" si="2"/>
        <v>0</v>
      </c>
      <c r="H57" s="48">
        <f>COUNTIFS('Self-Assessment_Cases'!$E$4:$E$657,"IA-6",'Self-Assessment_Cases'!$I4:$I657,"In Progress - Installation/Upgrade")</f>
        <v>0</v>
      </c>
      <c r="I57" s="66">
        <f t="shared" si="3"/>
        <v>0</v>
      </c>
      <c r="J57" s="49">
        <f>COUNTIFS('Self-Assessment_Cases'!$E$4:$E$657,"IA-6",'Self-Assessment_Cases'!$I4:$I657,"Not Implemented - Compensating Control")</f>
        <v>0</v>
      </c>
      <c r="K57" s="67">
        <f t="shared" si="4"/>
        <v>0</v>
      </c>
      <c r="L57" s="50">
        <f>COUNTIFS('Self-Assessment_Cases'!$E$4:$E$657,"IA-6",'Self-Assessment_Cases'!$I4:$I657,"Not Implemented - Risk Negligible")</f>
        <v>0</v>
      </c>
      <c r="M57" s="56">
        <f t="shared" si="5"/>
        <v>0</v>
      </c>
      <c r="N57" s="57">
        <f>COUNTIFS('Self-Assessment_Cases'!$E$4:$E$657,"IA-6",'Self-Assessment_Cases'!$I4:$I657,"Not Implemented - Risk Accepted")</f>
        <v>0</v>
      </c>
      <c r="O57" s="57">
        <f t="shared" si="6"/>
        <v>0</v>
      </c>
      <c r="P57" s="58">
        <f>COUNTIFS('Self-Assessment_Cases'!$E$4:$E$657,"IA-6",'Self-Assessment_Cases'!$I4:$I657,"Not Implemented - Planned")</f>
        <v>0</v>
      </c>
      <c r="Q57" s="58">
        <f t="shared" si="7"/>
        <v>0</v>
      </c>
      <c r="R57" s="59">
        <f>COUNTIFS('Self-Assessment_Cases'!$E$4:$E$657,"IA-6",'Self-Assessment_Cases'!$I4:$I657,"Not Implemented - Unplanned")</f>
        <v>0</v>
      </c>
      <c r="S57" s="59">
        <f t="shared" si="8"/>
        <v>0</v>
      </c>
      <c r="T57" s="60">
        <f>COUNTIFS('Self-Assessment_Cases'!$E$4:$E$657,"IA-6",'Self-Assessment_Cases'!$I4:$I657,"Not Applicable")</f>
        <v>0</v>
      </c>
      <c r="U57" s="61"/>
      <c r="V57" s="68" t="e">
        <f t="shared" si="9"/>
        <v>#DIV/0!</v>
      </c>
      <c r="W57" s="44">
        <f t="shared" si="10"/>
        <v>0</v>
      </c>
    </row>
    <row r="58" spans="1:23" ht="15" customHeight="1" x14ac:dyDescent="0.2">
      <c r="A58" s="45" t="s">
        <v>98</v>
      </c>
      <c r="B58" s="46">
        <f>COUNTIFS('Self-Assessment_Cases'!$E$4:$E$657,"IA-7",'Self-Assessment_Cases'!$I4:$I657,"Implemented")</f>
        <v>0</v>
      </c>
      <c r="C58" s="63">
        <f t="shared" si="0"/>
        <v>0</v>
      </c>
      <c r="D58" s="47">
        <f>COUNTIFS('Self-Assessment_Cases'!$E$4:$E$657,"IA-7",'Self-Assessment_Cases'!$I4:$I657,"In Progress - Administrative")</f>
        <v>0</v>
      </c>
      <c r="E58" s="64">
        <f t="shared" si="1"/>
        <v>0</v>
      </c>
      <c r="F58" s="62">
        <f>COUNTIFS('Self-Assessment_Cases'!$E$4:$E$657,"IA-7",'Self-Assessment_Cases'!$I4:$I657,"In Progress - Configuration")</f>
        <v>0</v>
      </c>
      <c r="G58" s="65">
        <f t="shared" si="2"/>
        <v>0</v>
      </c>
      <c r="H58" s="48">
        <f>COUNTIFS('Self-Assessment_Cases'!$E$4:$E$657,"IA-7",'Self-Assessment_Cases'!$I4:$I657,"In Progress - Installation/Upgrade")</f>
        <v>0</v>
      </c>
      <c r="I58" s="66">
        <f t="shared" si="3"/>
        <v>0</v>
      </c>
      <c r="J58" s="49">
        <f>COUNTIFS('Self-Assessment_Cases'!$E$4:$E$657,"IA-7",'Self-Assessment_Cases'!$I4:$I657,"Not Implemented - Compensating Control")</f>
        <v>0</v>
      </c>
      <c r="K58" s="67">
        <f t="shared" si="4"/>
        <v>0</v>
      </c>
      <c r="L58" s="50">
        <f>COUNTIFS('Self-Assessment_Cases'!$E$4:$E$657,"IA-7",'Self-Assessment_Cases'!$I4:$I657,"Not Implemented - Risk Negligible")</f>
        <v>0</v>
      </c>
      <c r="M58" s="56">
        <f t="shared" si="5"/>
        <v>0</v>
      </c>
      <c r="N58" s="57">
        <f>COUNTIFS('Self-Assessment_Cases'!$E$4:$E$657,"IA-7",'Self-Assessment_Cases'!$I4:$I657,"Not Implemented - Risk Accepted")</f>
        <v>0</v>
      </c>
      <c r="O58" s="57">
        <f t="shared" si="6"/>
        <v>0</v>
      </c>
      <c r="P58" s="58">
        <f>COUNTIFS('Self-Assessment_Cases'!$E$4:$E$657,"IA-7",'Self-Assessment_Cases'!$I4:$I657,"Not Implemented - Planned")</f>
        <v>0</v>
      </c>
      <c r="Q58" s="58">
        <f t="shared" si="7"/>
        <v>0</v>
      </c>
      <c r="R58" s="59">
        <f>COUNTIFS('Self-Assessment_Cases'!$E$4:$E$657,"IA-7",'Self-Assessment_Cases'!$I4:$I657,"Not Implemented - Unplanned")</f>
        <v>0</v>
      </c>
      <c r="S58" s="59">
        <f t="shared" si="8"/>
        <v>0</v>
      </c>
      <c r="T58" s="60">
        <f>COUNTIFS('Self-Assessment_Cases'!$E$4:$E$657,"IA-7",'Self-Assessment_Cases'!$I4:$I657,"Not Applicable")</f>
        <v>0</v>
      </c>
      <c r="U58" s="61"/>
      <c r="V58" s="68" t="e">
        <f t="shared" si="9"/>
        <v>#DIV/0!</v>
      </c>
      <c r="W58" s="44">
        <f t="shared" si="10"/>
        <v>0</v>
      </c>
    </row>
    <row r="59" spans="1:23" ht="15" customHeight="1" x14ac:dyDescent="0.2">
      <c r="A59" s="45" t="s">
        <v>100</v>
      </c>
      <c r="B59" s="46">
        <f>COUNTIFS('Self-Assessment_Cases'!$E$4:$E$657,"IA-8",'Self-Assessment_Cases'!$I4:$I657,"Implemented")</f>
        <v>0</v>
      </c>
      <c r="C59" s="63">
        <f t="shared" si="0"/>
        <v>0</v>
      </c>
      <c r="D59" s="47">
        <f>COUNTIFS('Self-Assessment_Cases'!$E$4:$E$657,"IA-8",'Self-Assessment_Cases'!$I4:$I657,"In Progress - Administrative")</f>
        <v>0</v>
      </c>
      <c r="E59" s="64">
        <f t="shared" si="1"/>
        <v>0</v>
      </c>
      <c r="F59" s="62">
        <f>COUNTIFS('Self-Assessment_Cases'!$E$4:$E$657,"IA-8",'Self-Assessment_Cases'!$I4:$I657,"In Progress - Configuration")</f>
        <v>0</v>
      </c>
      <c r="G59" s="65">
        <f t="shared" si="2"/>
        <v>0</v>
      </c>
      <c r="H59" s="48">
        <f>COUNTIFS('Self-Assessment_Cases'!$E$4:$E$657,"IA-8",'Self-Assessment_Cases'!$I4:$I657,"In Progress - Installation/Upgrade")</f>
        <v>0</v>
      </c>
      <c r="I59" s="66">
        <f t="shared" si="3"/>
        <v>0</v>
      </c>
      <c r="J59" s="49">
        <f>COUNTIFS('Self-Assessment_Cases'!$E$4:$E$657,"IA-8",'Self-Assessment_Cases'!$I4:$I657,"Not Implemented - Compensating Control")</f>
        <v>0</v>
      </c>
      <c r="K59" s="67">
        <f t="shared" si="4"/>
        <v>0</v>
      </c>
      <c r="L59" s="50">
        <f>COUNTIFS('Self-Assessment_Cases'!$E$4:$E$657,"IA-8",'Self-Assessment_Cases'!$I4:$I657,"Not Implemented - Risk Negligible")</f>
        <v>0</v>
      </c>
      <c r="M59" s="56">
        <f t="shared" si="5"/>
        <v>0</v>
      </c>
      <c r="N59" s="57">
        <f>COUNTIFS('Self-Assessment_Cases'!$E$4:$E$657,"IA-8",'Self-Assessment_Cases'!$I4:$I657,"Not Implemented - Risk Accepted")</f>
        <v>0</v>
      </c>
      <c r="O59" s="57">
        <f t="shared" si="6"/>
        <v>0</v>
      </c>
      <c r="P59" s="58">
        <f>COUNTIFS('Self-Assessment_Cases'!$E$4:$E$657,"IA-8",'Self-Assessment_Cases'!$I4:$I657,"Not Implemented - Planned")</f>
        <v>0</v>
      </c>
      <c r="Q59" s="58">
        <f t="shared" si="7"/>
        <v>0</v>
      </c>
      <c r="R59" s="59">
        <f>COUNTIFS('Self-Assessment_Cases'!$E$4:$E$657,"IA-8",'Self-Assessment_Cases'!$I4:$I657,"Not Implemented - Unplanned")</f>
        <v>0</v>
      </c>
      <c r="S59" s="59">
        <f t="shared" si="8"/>
        <v>0</v>
      </c>
      <c r="T59" s="60">
        <f>COUNTIFS('Self-Assessment_Cases'!$E$4:$E$657,"IA-8",'Self-Assessment_Cases'!$I4:$I657,"Not Applicable")</f>
        <v>0</v>
      </c>
      <c r="U59" s="61"/>
      <c r="V59" s="68" t="e">
        <f t="shared" si="9"/>
        <v>#DIV/0!</v>
      </c>
      <c r="W59" s="44">
        <f t="shared" si="10"/>
        <v>0</v>
      </c>
    </row>
    <row r="60" spans="1:23" ht="15" customHeight="1" x14ac:dyDescent="0.2">
      <c r="A60" s="45" t="s">
        <v>223</v>
      </c>
      <c r="B60" s="46">
        <f>COUNTIFS('Self-Assessment_Cases'!$E$4:$E$657,"IA-9",'Self-Assessment_Cases'!$I4:$I657,"Implemented")</f>
        <v>0</v>
      </c>
      <c r="C60" s="63">
        <f t="shared" si="0"/>
        <v>0</v>
      </c>
      <c r="D60" s="47">
        <f>COUNTIFS('Self-Assessment_Cases'!$E$4:$E$657,"IA-9",'Self-Assessment_Cases'!$I4:$I657,"In Progress - Administrative")</f>
        <v>0</v>
      </c>
      <c r="E60" s="64">
        <f t="shared" si="1"/>
        <v>0</v>
      </c>
      <c r="F60" s="62">
        <f>COUNTIFS('Self-Assessment_Cases'!$E$4:$E$657,"IA-9",'Self-Assessment_Cases'!$I4:$I657,"In Progress - Configuration")</f>
        <v>0</v>
      </c>
      <c r="G60" s="65">
        <f t="shared" si="2"/>
        <v>0</v>
      </c>
      <c r="H60" s="48">
        <f>COUNTIFS('Self-Assessment_Cases'!$E$4:$E$657,"IA-9",'Self-Assessment_Cases'!$I4:$I657,"In Progress - Installation/Upgrade")</f>
        <v>0</v>
      </c>
      <c r="I60" s="66">
        <f t="shared" si="3"/>
        <v>0</v>
      </c>
      <c r="J60" s="49">
        <f>COUNTIFS('Self-Assessment_Cases'!$E$4:$E$657,"IA-9",'Self-Assessment_Cases'!$I4:$I657,"Not Implemented - Compensating Control")</f>
        <v>0</v>
      </c>
      <c r="K60" s="67">
        <f t="shared" si="4"/>
        <v>0</v>
      </c>
      <c r="L60" s="50">
        <f>COUNTIFS('Self-Assessment_Cases'!$E$4:$E$657,"IA-9",'Self-Assessment_Cases'!$I4:$I657,"Not Implemented - Risk Negligible")</f>
        <v>0</v>
      </c>
      <c r="M60" s="56">
        <f t="shared" si="5"/>
        <v>0</v>
      </c>
      <c r="N60" s="57">
        <f>COUNTIFS('Self-Assessment_Cases'!$E$4:$E$657,"IA-9",'Self-Assessment_Cases'!$I4:$I657,"Not Implemented - Risk Accepted")</f>
        <v>0</v>
      </c>
      <c r="O60" s="57">
        <f t="shared" si="6"/>
        <v>0</v>
      </c>
      <c r="P60" s="58">
        <f>COUNTIFS('Self-Assessment_Cases'!$E$4:$E$657,"IA-9",'Self-Assessment_Cases'!$I4:$I657,"Not Implemented - Planned")</f>
        <v>0</v>
      </c>
      <c r="Q60" s="58">
        <f t="shared" si="7"/>
        <v>0</v>
      </c>
      <c r="R60" s="59">
        <f>COUNTIFS('Self-Assessment_Cases'!$E$4:$E$657,"IA-9",'Self-Assessment_Cases'!$I4:$I657,"Not Implemented - Unplanned")</f>
        <v>0</v>
      </c>
      <c r="S60" s="59">
        <f t="shared" si="8"/>
        <v>0</v>
      </c>
      <c r="T60" s="60">
        <f>COUNTIFS('Self-Assessment_Cases'!$E$4:$E$657,"IA-9",'Self-Assessment_Cases'!$I4:$I657,"Not Applicable")</f>
        <v>0</v>
      </c>
      <c r="U60" s="61"/>
      <c r="V60" s="68" t="e">
        <f t="shared" si="9"/>
        <v>#DIV/0!</v>
      </c>
      <c r="W60" s="44">
        <f t="shared" si="10"/>
        <v>0</v>
      </c>
    </row>
    <row r="61" spans="1:23" x14ac:dyDescent="0.2">
      <c r="A61" s="45" t="s">
        <v>102</v>
      </c>
      <c r="B61" s="46">
        <f>COUNTIFS('Self-Assessment_Cases'!$E$4:$E$657,"IR-1",'Self-Assessment_Cases'!$I4:$I657,"Implemented")</f>
        <v>0</v>
      </c>
      <c r="C61" s="63">
        <f t="shared" si="0"/>
        <v>0</v>
      </c>
      <c r="D61" s="47">
        <f>COUNTIFS('Self-Assessment_Cases'!$E$4:$E$657,"IR-1",'Self-Assessment_Cases'!$I4:$I657,"In Progress - Administrative")</f>
        <v>0</v>
      </c>
      <c r="E61" s="64">
        <f t="shared" si="1"/>
        <v>0</v>
      </c>
      <c r="F61" s="62">
        <f>COUNTIFS('Self-Assessment_Cases'!$E$4:$E$657,"IR-1",'Self-Assessment_Cases'!$I4:$I657,"In Progress - Configuration")</f>
        <v>0</v>
      </c>
      <c r="G61" s="65">
        <f t="shared" si="2"/>
        <v>0</v>
      </c>
      <c r="H61" s="48">
        <f>COUNTIFS('Self-Assessment_Cases'!$E$4:$E$657,"IR-1",'Self-Assessment_Cases'!$I4:$I657,"In Progress - Installation/Upgrade")</f>
        <v>0</v>
      </c>
      <c r="I61" s="66">
        <f t="shared" si="3"/>
        <v>0</v>
      </c>
      <c r="J61" s="49">
        <f>COUNTIFS('Self-Assessment_Cases'!$E$4:$E$657,"IR-1",'Self-Assessment_Cases'!$I4:$I657,"Not Implemented - Compensating Control")</f>
        <v>0</v>
      </c>
      <c r="K61" s="67">
        <f t="shared" si="4"/>
        <v>0</v>
      </c>
      <c r="L61" s="50">
        <f>COUNTIFS('Self-Assessment_Cases'!$E$4:$E$657,"IR-1",'Self-Assessment_Cases'!$I4:$I657,"Not Implemented - Risk Negligible")</f>
        <v>0</v>
      </c>
      <c r="M61" s="56">
        <f t="shared" si="5"/>
        <v>0</v>
      </c>
      <c r="N61" s="57">
        <f>COUNTIFS('Self-Assessment_Cases'!$E$4:$E$657,"IR-1",'Self-Assessment_Cases'!$I4:$I657,"Not Implemented - Risk Accepted")</f>
        <v>0</v>
      </c>
      <c r="O61" s="57">
        <f t="shared" si="6"/>
        <v>0</v>
      </c>
      <c r="P61" s="58">
        <f>COUNTIFS('Self-Assessment_Cases'!$E$4:$E$657,"IR-1",'Self-Assessment_Cases'!$I4:$I657,"Not Implemented - Planned")</f>
        <v>0</v>
      </c>
      <c r="Q61" s="58">
        <f t="shared" si="7"/>
        <v>0</v>
      </c>
      <c r="R61" s="59">
        <f>COUNTIFS('Self-Assessment_Cases'!$E$4:$E$657,"IR-1",'Self-Assessment_Cases'!$I4:$I657,"Not Implemented - Unplanned")</f>
        <v>0</v>
      </c>
      <c r="S61" s="59">
        <f t="shared" si="8"/>
        <v>0</v>
      </c>
      <c r="T61" s="60">
        <f>COUNTIFS('Self-Assessment_Cases'!$E$4:$E$657,"IR-1",'Self-Assessment_Cases'!$I4:$I657,"Not Applicable")</f>
        <v>0</v>
      </c>
      <c r="U61" s="61"/>
      <c r="V61" s="68" t="e">
        <f t="shared" si="9"/>
        <v>#DIV/0!</v>
      </c>
      <c r="W61" s="44">
        <f t="shared" si="10"/>
        <v>0</v>
      </c>
    </row>
    <row r="62" spans="1:23" ht="15" customHeight="1" x14ac:dyDescent="0.2">
      <c r="A62" s="45" t="s">
        <v>104</v>
      </c>
      <c r="B62" s="46">
        <f>COUNTIFS('Self-Assessment_Cases'!$E$4:$E$657,"IR-3",'Self-Assessment_Cases'!$I4:$I657,"Implemented")</f>
        <v>0</v>
      </c>
      <c r="C62" s="63">
        <f t="shared" si="0"/>
        <v>0</v>
      </c>
      <c r="D62" s="47">
        <f>COUNTIFS('Self-Assessment_Cases'!$E$4:$E$657,"IR-3",'Self-Assessment_Cases'!$I4:$I657,"In Progress - Administrative")</f>
        <v>0</v>
      </c>
      <c r="E62" s="64">
        <f t="shared" si="1"/>
        <v>0</v>
      </c>
      <c r="F62" s="62">
        <f>COUNTIFS('Self-Assessment_Cases'!$E$4:$E$657,"IR-3",'Self-Assessment_Cases'!$I4:$I657,"In Progress - Configuration")</f>
        <v>0</v>
      </c>
      <c r="G62" s="65">
        <f t="shared" si="2"/>
        <v>0</v>
      </c>
      <c r="H62" s="48">
        <f>COUNTIFS('Self-Assessment_Cases'!$E$4:$E$657,"IR-3",'Self-Assessment_Cases'!$I4:$I657,"In Progress - Installation/Upgrade")</f>
        <v>0</v>
      </c>
      <c r="I62" s="66">
        <f t="shared" si="3"/>
        <v>0</v>
      </c>
      <c r="J62" s="49">
        <f>COUNTIFS('Self-Assessment_Cases'!$E$4:$E$657,"IR-3",'Self-Assessment_Cases'!$I4:$I657,"Not Implemented - Compensating Control")</f>
        <v>0</v>
      </c>
      <c r="K62" s="67">
        <f t="shared" si="4"/>
        <v>0</v>
      </c>
      <c r="L62" s="50">
        <f>COUNTIFS('Self-Assessment_Cases'!$E$4:$E$657,"IR-3",'Self-Assessment_Cases'!$I4:$I657,"Not Implemented - Risk Negligible")</f>
        <v>0</v>
      </c>
      <c r="M62" s="56">
        <f t="shared" si="5"/>
        <v>0</v>
      </c>
      <c r="N62" s="57">
        <f>COUNTIFS('Self-Assessment_Cases'!$E$4:$E$657,"IR-3",'Self-Assessment_Cases'!$I4:$I657,"Not Implemented - Risk Accepted")</f>
        <v>0</v>
      </c>
      <c r="O62" s="57">
        <f t="shared" si="6"/>
        <v>0</v>
      </c>
      <c r="P62" s="58">
        <f>COUNTIFS('Self-Assessment_Cases'!$E$4:$E$657,"IR-3",'Self-Assessment_Cases'!$I4:$I657,"Not Implemented - Planned")</f>
        <v>0</v>
      </c>
      <c r="Q62" s="58">
        <f t="shared" si="7"/>
        <v>0</v>
      </c>
      <c r="R62" s="59">
        <f>COUNTIFS('Self-Assessment_Cases'!$E$4:$E$657,"IR-3",'Self-Assessment_Cases'!$I4:$I657,"Not Implemented - Unplanned")</f>
        <v>0</v>
      </c>
      <c r="S62" s="59">
        <f t="shared" si="8"/>
        <v>0</v>
      </c>
      <c r="T62" s="60">
        <f>COUNTIFS('Self-Assessment_Cases'!$E$4:$E$657,"IR-3",'Self-Assessment_Cases'!$I4:$I657,"Not Applicable")</f>
        <v>0</v>
      </c>
      <c r="U62" s="61"/>
      <c r="V62" s="68" t="e">
        <f t="shared" si="9"/>
        <v>#DIV/0!</v>
      </c>
      <c r="W62" s="44">
        <f t="shared" si="10"/>
        <v>0</v>
      </c>
    </row>
    <row r="63" spans="1:23" ht="15" customHeight="1" x14ac:dyDescent="0.2">
      <c r="A63" s="45" t="s">
        <v>106</v>
      </c>
      <c r="B63" s="46">
        <f>COUNTIFS('Self-Assessment_Cases'!$E$4:$E$657,"IR-4",'Self-Assessment_Cases'!$I4:$I657,"Implemented")</f>
        <v>0</v>
      </c>
      <c r="C63" s="63">
        <f t="shared" si="0"/>
        <v>0</v>
      </c>
      <c r="D63" s="47">
        <f>COUNTIFS('Self-Assessment_Cases'!$E$4:$E$657,"IR-4",'Self-Assessment_Cases'!$I4:$I657,"In Progress - Administrative")</f>
        <v>0</v>
      </c>
      <c r="E63" s="64">
        <f t="shared" si="1"/>
        <v>0</v>
      </c>
      <c r="F63" s="62">
        <f>COUNTIFS('Self-Assessment_Cases'!$E$4:$E$657,"IR-4",'Self-Assessment_Cases'!$I4:$I657,"In Progress - Configuration")</f>
        <v>0</v>
      </c>
      <c r="G63" s="65">
        <f t="shared" si="2"/>
        <v>0</v>
      </c>
      <c r="H63" s="48">
        <f>COUNTIFS('Self-Assessment_Cases'!$E$4:$E$657,"IR-4",'Self-Assessment_Cases'!$I4:$I657,"In Progress - Installation/Upgrade")</f>
        <v>0</v>
      </c>
      <c r="I63" s="66">
        <f t="shared" si="3"/>
        <v>0</v>
      </c>
      <c r="J63" s="49">
        <f>COUNTIFS('Self-Assessment_Cases'!$E$4:$E$657,"IR-4",'Self-Assessment_Cases'!$I4:$I657,"Not Implemented - Compensating Control")</f>
        <v>0</v>
      </c>
      <c r="K63" s="67">
        <f t="shared" si="4"/>
        <v>0</v>
      </c>
      <c r="L63" s="50">
        <f>COUNTIFS('Self-Assessment_Cases'!$E$4:$E$657,"IR-4",'Self-Assessment_Cases'!$I4:$I657,"Not Implemented - Risk Negligible")</f>
        <v>0</v>
      </c>
      <c r="M63" s="56">
        <f t="shared" si="5"/>
        <v>0</v>
      </c>
      <c r="N63" s="57">
        <f>COUNTIFS('Self-Assessment_Cases'!$E$4:$E$657,"IR-4",'Self-Assessment_Cases'!$I4:$I657,"Not Implemented - Risk Accepted")</f>
        <v>0</v>
      </c>
      <c r="O63" s="57">
        <f t="shared" si="6"/>
        <v>0</v>
      </c>
      <c r="P63" s="58">
        <f>COUNTIFS('Self-Assessment_Cases'!$E$4:$E$657,"IR-4",'Self-Assessment_Cases'!$I4:$I657,"Not Implemented - Planned")</f>
        <v>0</v>
      </c>
      <c r="Q63" s="58">
        <f t="shared" si="7"/>
        <v>0</v>
      </c>
      <c r="R63" s="59">
        <f>COUNTIFS('Self-Assessment_Cases'!$E$4:$E$657,"IR-4",'Self-Assessment_Cases'!$I4:$I657,"Not Implemented - Unplanned")</f>
        <v>0</v>
      </c>
      <c r="S63" s="59">
        <f t="shared" si="8"/>
        <v>0</v>
      </c>
      <c r="T63" s="60">
        <f>COUNTIFS('Self-Assessment_Cases'!$E$4:$E$657,"IR-4",'Self-Assessment_Cases'!$I4:$I657,"Not Applicable")</f>
        <v>0</v>
      </c>
      <c r="U63" s="61"/>
      <c r="V63" s="68" t="e">
        <f t="shared" si="9"/>
        <v>#DIV/0!</v>
      </c>
      <c r="W63" s="44">
        <f t="shared" si="10"/>
        <v>0</v>
      </c>
    </row>
    <row r="64" spans="1:23" x14ac:dyDescent="0.2">
      <c r="A64" s="45" t="s">
        <v>108</v>
      </c>
      <c r="B64" s="46">
        <f>COUNTIFS('Self-Assessment_Cases'!$E$4:$E$657,"IR-5",'Self-Assessment_Cases'!$I4:$I657,"Implemented")</f>
        <v>0</v>
      </c>
      <c r="C64" s="63">
        <f t="shared" si="0"/>
        <v>0</v>
      </c>
      <c r="D64" s="47">
        <f>COUNTIFS('Self-Assessment_Cases'!$E$4:$E$657,"IR-5",'Self-Assessment_Cases'!$I4:$I657,"In Progress - Administrative")</f>
        <v>0</v>
      </c>
      <c r="E64" s="64">
        <f t="shared" si="1"/>
        <v>0</v>
      </c>
      <c r="F64" s="62">
        <f>COUNTIFS('Self-Assessment_Cases'!$E$4:$E$657,"IR-5",'Self-Assessment_Cases'!$I4:$I657,"In Progress - Configuration")</f>
        <v>0</v>
      </c>
      <c r="G64" s="65">
        <f t="shared" si="2"/>
        <v>0</v>
      </c>
      <c r="H64" s="48">
        <f>COUNTIFS('Self-Assessment_Cases'!$E$4:$E$657,"IR-5",'Self-Assessment_Cases'!$I4:$I657,"In Progress - Installation/Upgrade")</f>
        <v>0</v>
      </c>
      <c r="I64" s="66">
        <f t="shared" si="3"/>
        <v>0</v>
      </c>
      <c r="J64" s="49">
        <f>COUNTIFS('Self-Assessment_Cases'!$E$4:$E$657,"IR-5",'Self-Assessment_Cases'!$I4:$I657,"Not Implemented - Compensating Control")</f>
        <v>0</v>
      </c>
      <c r="K64" s="67">
        <f t="shared" si="4"/>
        <v>0</v>
      </c>
      <c r="L64" s="50">
        <f>COUNTIFS('Self-Assessment_Cases'!$E$4:$E$657,"IR-5",'Self-Assessment_Cases'!$I4:$I657,"Not Implemented - Risk Negligible")</f>
        <v>0</v>
      </c>
      <c r="M64" s="56">
        <f t="shared" si="5"/>
        <v>0</v>
      </c>
      <c r="N64" s="57">
        <f>COUNTIFS('Self-Assessment_Cases'!$E$4:$E$657,"IR-5",'Self-Assessment_Cases'!$I4:$I657,"Not Implemented - Risk Accepted")</f>
        <v>0</v>
      </c>
      <c r="O64" s="57">
        <f t="shared" si="6"/>
        <v>0</v>
      </c>
      <c r="P64" s="58">
        <f>COUNTIFS('Self-Assessment_Cases'!$E$4:$E$657,"IR-5",'Self-Assessment_Cases'!$I4:$I657,"Not Implemented - Planned")</f>
        <v>0</v>
      </c>
      <c r="Q64" s="58">
        <f t="shared" si="7"/>
        <v>0</v>
      </c>
      <c r="R64" s="59">
        <f>COUNTIFS('Self-Assessment_Cases'!$E$4:$E$657,"IR-5",'Self-Assessment_Cases'!$I4:$I657,"Not Implemented - Unplanned")</f>
        <v>0</v>
      </c>
      <c r="S64" s="59">
        <f t="shared" si="8"/>
        <v>0</v>
      </c>
      <c r="T64" s="60">
        <f>COUNTIFS('Self-Assessment_Cases'!$E$4:$E$657,"IR-5",'Self-Assessment_Cases'!$I4:$I657,"Not Applicable")</f>
        <v>0</v>
      </c>
      <c r="U64" s="61"/>
      <c r="V64" s="68" t="e">
        <f t="shared" si="9"/>
        <v>#DIV/0!</v>
      </c>
      <c r="W64" s="44">
        <f t="shared" si="10"/>
        <v>0</v>
      </c>
    </row>
    <row r="65" spans="1:23" x14ac:dyDescent="0.2">
      <c r="A65" s="45" t="s">
        <v>110</v>
      </c>
      <c r="B65" s="46">
        <f>COUNTIFS('Self-Assessment_Cases'!$E$4:$E$657,"IR-6",'Self-Assessment_Cases'!$I4:$I657,"Implemented")</f>
        <v>0</v>
      </c>
      <c r="C65" s="63">
        <f t="shared" si="0"/>
        <v>0</v>
      </c>
      <c r="D65" s="47">
        <f>COUNTIFS('Self-Assessment_Cases'!$E$4:$E$657,"IR-6",'Self-Assessment_Cases'!$I4:$I657,"In Progress - Administrative")</f>
        <v>0</v>
      </c>
      <c r="E65" s="64">
        <f t="shared" si="1"/>
        <v>0</v>
      </c>
      <c r="F65" s="62">
        <f>COUNTIFS('Self-Assessment_Cases'!$E$4:$E$657,"IR-6",'Self-Assessment_Cases'!$I4:$I657,"In Progress - Configuration")</f>
        <v>0</v>
      </c>
      <c r="G65" s="65">
        <f t="shared" si="2"/>
        <v>0</v>
      </c>
      <c r="H65" s="48">
        <f>COUNTIFS('Self-Assessment_Cases'!$E$4:$E$657,"IR-6",'Self-Assessment_Cases'!$I4:$I657,"In Progress - Installation/Upgrade")</f>
        <v>0</v>
      </c>
      <c r="I65" s="66">
        <f t="shared" si="3"/>
        <v>0</v>
      </c>
      <c r="J65" s="49">
        <f>COUNTIFS('Self-Assessment_Cases'!$E$4:$E$657,"IR-6",'Self-Assessment_Cases'!$I4:$I657,"Not Implemented - Compensating Control")</f>
        <v>0</v>
      </c>
      <c r="K65" s="67">
        <f t="shared" si="4"/>
        <v>0</v>
      </c>
      <c r="L65" s="50">
        <f>COUNTIFS('Self-Assessment_Cases'!$E$4:$E$657,"IR-6",'Self-Assessment_Cases'!$I4:$I657,"Not Implemented - Risk Negligible")</f>
        <v>0</v>
      </c>
      <c r="M65" s="56">
        <f t="shared" si="5"/>
        <v>0</v>
      </c>
      <c r="N65" s="57">
        <f>COUNTIFS('Self-Assessment_Cases'!$E$4:$E$657,"IR-6",'Self-Assessment_Cases'!$I4:$I657,"Not Implemented - Risk Accepted")</f>
        <v>0</v>
      </c>
      <c r="O65" s="57">
        <f t="shared" si="6"/>
        <v>0</v>
      </c>
      <c r="P65" s="58">
        <f>COUNTIFS('Self-Assessment_Cases'!$E$4:$E$657,"IR-6",'Self-Assessment_Cases'!$I4:$I657,"Not Implemented - Planned")</f>
        <v>0</v>
      </c>
      <c r="Q65" s="58">
        <f t="shared" si="7"/>
        <v>0</v>
      </c>
      <c r="R65" s="59">
        <f>COUNTIFS('Self-Assessment_Cases'!$E$4:$E$657,"IR-6",'Self-Assessment_Cases'!$I4:$I657,"Not Implemented - Unplanned")</f>
        <v>0</v>
      </c>
      <c r="S65" s="59">
        <f t="shared" si="8"/>
        <v>0</v>
      </c>
      <c r="T65" s="60">
        <f>COUNTIFS('Self-Assessment_Cases'!$E$4:$E$657,"IR-6",'Self-Assessment_Cases'!$I4:$I657,"Not Applicable")</f>
        <v>0</v>
      </c>
      <c r="U65" s="61"/>
      <c r="V65" s="68" t="e">
        <f t="shared" si="9"/>
        <v>#DIV/0!</v>
      </c>
      <c r="W65" s="44">
        <f t="shared" si="10"/>
        <v>0</v>
      </c>
    </row>
    <row r="66" spans="1:23" ht="15" customHeight="1" x14ac:dyDescent="0.2">
      <c r="A66" s="45" t="s">
        <v>112</v>
      </c>
      <c r="B66" s="46">
        <f>COUNTIFS('Self-Assessment_Cases'!$E$4:$E$657,"IR-8",'Self-Assessment_Cases'!$I4:$I657,"Implemented")</f>
        <v>0</v>
      </c>
      <c r="C66" s="63">
        <f t="shared" si="0"/>
        <v>0</v>
      </c>
      <c r="D66" s="47">
        <f>COUNTIFS('Self-Assessment_Cases'!$E$4:$E$657,"IR-8",'Self-Assessment_Cases'!$I4:$I657,"In Progress - Administrative")</f>
        <v>0</v>
      </c>
      <c r="E66" s="64">
        <f t="shared" si="1"/>
        <v>0</v>
      </c>
      <c r="F66" s="62">
        <f>COUNTIFS('Self-Assessment_Cases'!$E$4:$E$657,"IR-8",'Self-Assessment_Cases'!$I4:$I657,"In Progress - Configuration")</f>
        <v>0</v>
      </c>
      <c r="G66" s="65">
        <f t="shared" si="2"/>
        <v>0</v>
      </c>
      <c r="H66" s="48">
        <f>COUNTIFS('Self-Assessment_Cases'!$E$4:$E$657,"IR-8",'Self-Assessment_Cases'!$I4:$I657,"In Progress - Installation/Upgrade")</f>
        <v>0</v>
      </c>
      <c r="I66" s="66">
        <f t="shared" si="3"/>
        <v>0</v>
      </c>
      <c r="J66" s="49">
        <f>COUNTIFS('Self-Assessment_Cases'!$E$4:$E$657,"IR-8",'Self-Assessment_Cases'!$I4:$I657,"Not Implemented - Compensating Control")</f>
        <v>0</v>
      </c>
      <c r="K66" s="67">
        <f t="shared" si="4"/>
        <v>0</v>
      </c>
      <c r="L66" s="50">
        <f>COUNTIFS('Self-Assessment_Cases'!$E$4:$E$657,"IR-8",'Self-Assessment_Cases'!$I4:$I657,"Not Implemented - Risk Negligible")</f>
        <v>0</v>
      </c>
      <c r="M66" s="56">
        <f t="shared" si="5"/>
        <v>0</v>
      </c>
      <c r="N66" s="57">
        <f>COUNTIFS('Self-Assessment_Cases'!$E$4:$E$657,"IR-8",'Self-Assessment_Cases'!$I4:$I657,"Not Implemented - Risk Accepted")</f>
        <v>0</v>
      </c>
      <c r="O66" s="57">
        <f t="shared" si="6"/>
        <v>0</v>
      </c>
      <c r="P66" s="58">
        <f>COUNTIFS('Self-Assessment_Cases'!$E$4:$E$657,"IR-8",'Self-Assessment_Cases'!$I4:$I657,"Not Implemented - Planned")</f>
        <v>0</v>
      </c>
      <c r="Q66" s="58">
        <f t="shared" si="7"/>
        <v>0</v>
      </c>
      <c r="R66" s="59">
        <f>COUNTIFS('Self-Assessment_Cases'!$E$4:$E$657,"IR-8",'Self-Assessment_Cases'!$I4:$I657,"Not Implemented - Unplanned")</f>
        <v>0</v>
      </c>
      <c r="S66" s="59">
        <f t="shared" si="8"/>
        <v>0</v>
      </c>
      <c r="T66" s="60">
        <f>COUNTIFS('Self-Assessment_Cases'!$E$4:$E$657,"IR-8",'Self-Assessment_Cases'!$I4:$I657,"Not Applicable")</f>
        <v>0</v>
      </c>
      <c r="U66" s="61"/>
      <c r="V66" s="68" t="e">
        <f t="shared" si="9"/>
        <v>#DIV/0!</v>
      </c>
      <c r="W66" s="44">
        <f t="shared" si="10"/>
        <v>0</v>
      </c>
    </row>
    <row r="67" spans="1:23" ht="15" customHeight="1" x14ac:dyDescent="0.2">
      <c r="A67" s="45" t="s">
        <v>114</v>
      </c>
      <c r="B67" s="46">
        <f>COUNTIFS('Self-Assessment_Cases'!$E$4:$E$657,"MA-1",'Self-Assessment_Cases'!$I4:$I657,"Implemented")</f>
        <v>0</v>
      </c>
      <c r="C67" s="63">
        <f t="shared" si="0"/>
        <v>0</v>
      </c>
      <c r="D67" s="47">
        <f>COUNTIFS('Self-Assessment_Cases'!$E$4:$E$657,"MA-1",'Self-Assessment_Cases'!$I4:$I657,"In Progress - Administrative")</f>
        <v>0</v>
      </c>
      <c r="E67" s="64">
        <f t="shared" si="1"/>
        <v>0</v>
      </c>
      <c r="F67" s="62">
        <f>COUNTIFS('Self-Assessment_Cases'!$E$4:$E$657,"MA-1",'Self-Assessment_Cases'!$I4:$I657,"In Progress - Configuration")</f>
        <v>0</v>
      </c>
      <c r="G67" s="65">
        <f t="shared" si="2"/>
        <v>0</v>
      </c>
      <c r="H67" s="48">
        <f>COUNTIFS('Self-Assessment_Cases'!$E$4:$E$657,"MA-1",'Self-Assessment_Cases'!$I4:$I657,"In Progress - Installation/Upgrade")</f>
        <v>0</v>
      </c>
      <c r="I67" s="66">
        <f t="shared" si="3"/>
        <v>0</v>
      </c>
      <c r="J67" s="49">
        <f>COUNTIFS('Self-Assessment_Cases'!$E$4:$E$657,"MA-1",'Self-Assessment_Cases'!$I4:$I657,"Not Implemented - Compensating Control")</f>
        <v>0</v>
      </c>
      <c r="K67" s="67">
        <f t="shared" si="4"/>
        <v>0</v>
      </c>
      <c r="L67" s="50">
        <f>COUNTIFS('Self-Assessment_Cases'!$E$4:$E$657,"MA-1",'Self-Assessment_Cases'!$I4:$I657,"Not Implemented - Risk Negligible")</f>
        <v>0</v>
      </c>
      <c r="M67" s="56">
        <f t="shared" si="5"/>
        <v>0</v>
      </c>
      <c r="N67" s="57">
        <f>COUNTIFS('Self-Assessment_Cases'!$E$4:$E$657,"MA-1",'Self-Assessment_Cases'!$I4:$I657,"Not Implemented - Risk Accepted")</f>
        <v>0</v>
      </c>
      <c r="O67" s="57">
        <f t="shared" si="6"/>
        <v>0</v>
      </c>
      <c r="P67" s="58">
        <f>COUNTIFS('Self-Assessment_Cases'!$E$4:$E$657,"MA-1",'Self-Assessment_Cases'!$I4:$I657,"Not Implemented - Planned")</f>
        <v>0</v>
      </c>
      <c r="Q67" s="58">
        <f t="shared" si="7"/>
        <v>0</v>
      </c>
      <c r="R67" s="59">
        <f>COUNTIFS('Self-Assessment_Cases'!$E$4:$E$657,"MA-1",'Self-Assessment_Cases'!$I4:$I657,"Not Implemented - Unplanned")</f>
        <v>0</v>
      </c>
      <c r="S67" s="59">
        <f t="shared" si="8"/>
        <v>0</v>
      </c>
      <c r="T67" s="60">
        <f>COUNTIFS('Self-Assessment_Cases'!$E$4:$E$657,"MA-1",'Self-Assessment_Cases'!$I4:$I657,"Not Applicable")</f>
        <v>0</v>
      </c>
      <c r="U67" s="61"/>
      <c r="V67" s="68" t="e">
        <f t="shared" si="9"/>
        <v>#DIV/0!</v>
      </c>
      <c r="W67" s="44">
        <f t="shared" si="10"/>
        <v>0</v>
      </c>
    </row>
    <row r="68" spans="1:23" ht="15" customHeight="1" x14ac:dyDescent="0.2">
      <c r="A68" s="45" t="s">
        <v>116</v>
      </c>
      <c r="B68" s="46">
        <f>COUNTIFS('Self-Assessment_Cases'!$E$4:$E$657,"MA-2",'Self-Assessment_Cases'!$I4:$I657,"Implemented")</f>
        <v>0</v>
      </c>
      <c r="C68" s="63">
        <f t="shared" ref="C68:C132" si="21">B68*5</f>
        <v>0</v>
      </c>
      <c r="D68" s="47">
        <f>COUNTIFS('Self-Assessment_Cases'!$E$4:$E$657,"MA-2",'Self-Assessment_Cases'!$I4:$I657,"In Progress - Administrative")</f>
        <v>0</v>
      </c>
      <c r="E68" s="64">
        <f t="shared" ref="E68:E132" si="22">D68*3</f>
        <v>0</v>
      </c>
      <c r="F68" s="62">
        <f>COUNTIFS('Self-Assessment_Cases'!$E$4:$E$657,"MA-2",'Self-Assessment_Cases'!$I4:$I657,"In Progress - Configuration")</f>
        <v>0</v>
      </c>
      <c r="G68" s="65">
        <f t="shared" ref="G68:G132" si="23">F68*3</f>
        <v>0</v>
      </c>
      <c r="H68" s="48">
        <f>COUNTIFS('Self-Assessment_Cases'!$E$4:$E$657,"MA-2",'Self-Assessment_Cases'!$I4:$I657,"In Progress - Installation/Upgrade")</f>
        <v>0</v>
      </c>
      <c r="I68" s="66">
        <f t="shared" ref="I68:I132" si="24">H68*3</f>
        <v>0</v>
      </c>
      <c r="J68" s="49">
        <f>COUNTIFS('Self-Assessment_Cases'!$E$4:$E$657,"MA-2",'Self-Assessment_Cases'!$I4:$I657,"Not Implemented - Compensating Control")</f>
        <v>0</v>
      </c>
      <c r="K68" s="67">
        <f t="shared" ref="K68:K132" si="25">J68*5</f>
        <v>0</v>
      </c>
      <c r="L68" s="50">
        <f>COUNTIFS('Self-Assessment_Cases'!$E$4:$E$657,"MA-2",'Self-Assessment_Cases'!$I4:$I657,"Not Implemented - Risk Negligible")</f>
        <v>0</v>
      </c>
      <c r="M68" s="56">
        <f t="shared" ref="M68:M132" si="26">L68*5</f>
        <v>0</v>
      </c>
      <c r="N68" s="57">
        <f>COUNTIFS('Self-Assessment_Cases'!$E$4:$E$657,"MA-2",'Self-Assessment_Cases'!$I4:$I657,"Not Implemented - Risk Accepted")</f>
        <v>0</v>
      </c>
      <c r="O68" s="57">
        <f t="shared" ref="O68:O132" si="27">N68</f>
        <v>0</v>
      </c>
      <c r="P68" s="58">
        <f>COUNTIFS('Self-Assessment_Cases'!$E$4:$E$657,"MA-2",'Self-Assessment_Cases'!$I4:$I657,"Not Implemented - Planned")</f>
        <v>0</v>
      </c>
      <c r="Q68" s="58">
        <f t="shared" ref="Q68:Q132" si="28">P68</f>
        <v>0</v>
      </c>
      <c r="R68" s="59">
        <f>COUNTIFS('Self-Assessment_Cases'!$E$4:$E$657,"MA-2",'Self-Assessment_Cases'!$I4:$I657,"Not Implemented - Unplanned")</f>
        <v>0</v>
      </c>
      <c r="S68" s="59">
        <f t="shared" ref="S68:S132" si="29">R68</f>
        <v>0</v>
      </c>
      <c r="T68" s="60">
        <f>COUNTIFS('Self-Assessment_Cases'!$E$4:$E$657,"MA-2",'Self-Assessment_Cases'!$I4:$I657,"Not Applicable")</f>
        <v>0</v>
      </c>
      <c r="U68" s="61"/>
      <c r="V68" s="68" t="e">
        <f t="shared" ref="V68:V132" si="30">(C68+E68+G68+I68+K68+M68+O68+Q68+S68)/W68</f>
        <v>#DIV/0!</v>
      </c>
      <c r="W68" s="44">
        <f t="shared" ref="W68:W132" si="31">(B68+D68+F68+H68+J68+L68+N68+P68+R68)*5</f>
        <v>0</v>
      </c>
    </row>
    <row r="69" spans="1:23" ht="15" customHeight="1" x14ac:dyDescent="0.2">
      <c r="A69" s="45" t="s">
        <v>118</v>
      </c>
      <c r="B69" s="46">
        <f>COUNTIFS('Self-Assessment_Cases'!$E$4:$E$657,"MA-3",'Self-Assessment_Cases'!$I4:$I657,"Implemented")</f>
        <v>0</v>
      </c>
      <c r="C69" s="63">
        <f t="shared" si="21"/>
        <v>0</v>
      </c>
      <c r="D69" s="47">
        <f>COUNTIFS('Self-Assessment_Cases'!$E$4:$E$657,"MA-3",'Self-Assessment_Cases'!$I4:$I657,"In Progress - Administrative")</f>
        <v>0</v>
      </c>
      <c r="E69" s="64">
        <f t="shared" si="22"/>
        <v>0</v>
      </c>
      <c r="F69" s="62">
        <f>COUNTIFS('Self-Assessment_Cases'!$E$4:$E$657,"MA-3",'Self-Assessment_Cases'!$I4:$I657,"In Progress - Configuration")</f>
        <v>0</v>
      </c>
      <c r="G69" s="65">
        <f t="shared" si="23"/>
        <v>0</v>
      </c>
      <c r="H69" s="48">
        <f>COUNTIFS('Self-Assessment_Cases'!$E$4:$E$657,"MA-3",'Self-Assessment_Cases'!$I4:$I657,"In Progress - Installation/Upgrade")</f>
        <v>0</v>
      </c>
      <c r="I69" s="66">
        <f t="shared" si="24"/>
        <v>0</v>
      </c>
      <c r="J69" s="49">
        <f>COUNTIFS('Self-Assessment_Cases'!$E$4:$E$657,"MA-3",'Self-Assessment_Cases'!$I4:$I657,"Not Implemented - Compensating Control")</f>
        <v>0</v>
      </c>
      <c r="K69" s="67">
        <f t="shared" si="25"/>
        <v>0</v>
      </c>
      <c r="L69" s="50">
        <f>COUNTIFS('Self-Assessment_Cases'!$E$4:$E$657,"MA-3",'Self-Assessment_Cases'!$I4:$I657,"Not Implemented - Risk Negligible")</f>
        <v>0</v>
      </c>
      <c r="M69" s="56">
        <f t="shared" si="26"/>
        <v>0</v>
      </c>
      <c r="N69" s="57">
        <f>COUNTIFS('Self-Assessment_Cases'!$E$4:$E$657,"MA-3",'Self-Assessment_Cases'!$I4:$I657,"Not Implemented - Risk Accepted")</f>
        <v>0</v>
      </c>
      <c r="O69" s="57">
        <f t="shared" si="27"/>
        <v>0</v>
      </c>
      <c r="P69" s="58">
        <f>COUNTIFS('Self-Assessment_Cases'!$E$4:$E$657,"MA-3",'Self-Assessment_Cases'!$I4:$I657,"Not Implemented - Planned")</f>
        <v>0</v>
      </c>
      <c r="Q69" s="58">
        <f t="shared" si="28"/>
        <v>0</v>
      </c>
      <c r="R69" s="59">
        <f>COUNTIFS('Self-Assessment_Cases'!$E$4:$E$657,"MA-3",'Self-Assessment_Cases'!$I4:$I657,"Not Implemented - Unplanned")</f>
        <v>0</v>
      </c>
      <c r="S69" s="59">
        <f t="shared" si="29"/>
        <v>0</v>
      </c>
      <c r="T69" s="60">
        <f>COUNTIFS('Self-Assessment_Cases'!$E$4:$E$657,"MA-3",'Self-Assessment_Cases'!$I4:$I657,"Not Applicable")</f>
        <v>0</v>
      </c>
      <c r="U69" s="61"/>
      <c r="V69" s="68" t="e">
        <f t="shared" si="30"/>
        <v>#DIV/0!</v>
      </c>
      <c r="W69" s="44">
        <f t="shared" si="31"/>
        <v>0</v>
      </c>
    </row>
    <row r="70" spans="1:23" ht="15" customHeight="1" x14ac:dyDescent="0.2">
      <c r="A70" s="45" t="s">
        <v>120</v>
      </c>
      <c r="B70" s="46">
        <f>COUNTIFS('Self-Assessment_Cases'!$E$4:$E$657,"MA-4",'Self-Assessment_Cases'!$I4:$I657,"Implemented")</f>
        <v>0</v>
      </c>
      <c r="C70" s="63">
        <f t="shared" si="21"/>
        <v>0</v>
      </c>
      <c r="D70" s="47">
        <f>COUNTIFS('Self-Assessment_Cases'!$E$4:$E$657,"MA-4",'Self-Assessment_Cases'!$I4:$I657,"In Progress - Administrative")</f>
        <v>0</v>
      </c>
      <c r="E70" s="64">
        <f t="shared" si="22"/>
        <v>0</v>
      </c>
      <c r="F70" s="62">
        <f>COUNTIFS('Self-Assessment_Cases'!$E$4:$E$657,"MA-4",'Self-Assessment_Cases'!$I4:$I657,"In Progress - Configuration")</f>
        <v>0</v>
      </c>
      <c r="G70" s="65">
        <f t="shared" si="23"/>
        <v>0</v>
      </c>
      <c r="H70" s="48">
        <f>COUNTIFS('Self-Assessment_Cases'!$E$4:$E$657,"MA-4",'Self-Assessment_Cases'!$I4:$I657,"In Progress - Installation/Upgrade")</f>
        <v>0</v>
      </c>
      <c r="I70" s="66">
        <f t="shared" si="24"/>
        <v>0</v>
      </c>
      <c r="J70" s="49">
        <f>COUNTIFS('Self-Assessment_Cases'!$E$4:$E$657,"MA-4",'Self-Assessment_Cases'!$I4:$I657,"Not Implemented - Compensating Control")</f>
        <v>0</v>
      </c>
      <c r="K70" s="67">
        <f t="shared" si="25"/>
        <v>0</v>
      </c>
      <c r="L70" s="50">
        <f>COUNTIFS('Self-Assessment_Cases'!$E$4:$E$657,"MA-4",'Self-Assessment_Cases'!$I4:$I657,"Not Implemented - Risk Negligible")</f>
        <v>0</v>
      </c>
      <c r="M70" s="56">
        <f t="shared" si="26"/>
        <v>0</v>
      </c>
      <c r="N70" s="57">
        <f>COUNTIFS('Self-Assessment_Cases'!$E$4:$E$657,"MA-4",'Self-Assessment_Cases'!$I4:$I657,"Not Implemented - Risk Accepted")</f>
        <v>0</v>
      </c>
      <c r="O70" s="57">
        <f t="shared" si="27"/>
        <v>0</v>
      </c>
      <c r="P70" s="58">
        <f>COUNTIFS('Self-Assessment_Cases'!$E$4:$E$657,"MA-4",'Self-Assessment_Cases'!$I4:$I657,"Not Implemented - Planned")</f>
        <v>0</v>
      </c>
      <c r="Q70" s="58">
        <f t="shared" si="28"/>
        <v>0</v>
      </c>
      <c r="R70" s="59">
        <f>COUNTIFS('Self-Assessment_Cases'!$E$4:$E$657,"MA-4",'Self-Assessment_Cases'!$I4:$I657,"Not Implemented - Unplanned")</f>
        <v>0</v>
      </c>
      <c r="S70" s="59">
        <f t="shared" si="29"/>
        <v>0</v>
      </c>
      <c r="T70" s="60">
        <f>COUNTIFS('Self-Assessment_Cases'!$E$4:$E$657,"MA-4",'Self-Assessment_Cases'!$I4:$I657,"Not Applicable")</f>
        <v>0</v>
      </c>
      <c r="U70" s="61"/>
      <c r="V70" s="68" t="e">
        <f t="shared" si="30"/>
        <v>#DIV/0!</v>
      </c>
      <c r="W70" s="44">
        <f t="shared" si="31"/>
        <v>0</v>
      </c>
    </row>
    <row r="71" spans="1:23" ht="15" customHeight="1" x14ac:dyDescent="0.2">
      <c r="A71" s="45" t="s">
        <v>122</v>
      </c>
      <c r="B71" s="46">
        <f>COUNTIFS('Self-Assessment_Cases'!$E$4:$E$657,"MA-5",'Self-Assessment_Cases'!$I4:$I657,"Implemented")</f>
        <v>0</v>
      </c>
      <c r="C71" s="63">
        <f t="shared" si="21"/>
        <v>0</v>
      </c>
      <c r="D71" s="47">
        <f>COUNTIFS('Self-Assessment_Cases'!$E$4:$E$657,"MA-5",'Self-Assessment_Cases'!$I4:$I657,"In Progress - Administrative")</f>
        <v>0</v>
      </c>
      <c r="E71" s="64">
        <f t="shared" si="22"/>
        <v>0</v>
      </c>
      <c r="F71" s="62">
        <f>COUNTIFS('Self-Assessment_Cases'!$E$4:$E$657,"MA-5",'Self-Assessment_Cases'!$I4:$I657,"In Progress - Configuration")</f>
        <v>0</v>
      </c>
      <c r="G71" s="65">
        <f t="shared" si="23"/>
        <v>0</v>
      </c>
      <c r="H71" s="48">
        <f>COUNTIFS('Self-Assessment_Cases'!$E$4:$E$657,"MA-5",'Self-Assessment_Cases'!$I4:$I657,"In Progress - Installation/Upgrade")</f>
        <v>0</v>
      </c>
      <c r="I71" s="66">
        <f t="shared" si="24"/>
        <v>0</v>
      </c>
      <c r="J71" s="49">
        <f>COUNTIFS('Self-Assessment_Cases'!$E$4:$E$657,"MA-5",'Self-Assessment_Cases'!$I4:$I657,"Not Implemented - Compensating Control")</f>
        <v>0</v>
      </c>
      <c r="K71" s="67">
        <f t="shared" si="25"/>
        <v>0</v>
      </c>
      <c r="L71" s="50">
        <f>COUNTIFS('Self-Assessment_Cases'!$E$4:$E$657,"MA-5",'Self-Assessment_Cases'!$I4:$I657,"Not Implemented - Risk Negligible")</f>
        <v>0</v>
      </c>
      <c r="M71" s="56">
        <f t="shared" si="26"/>
        <v>0</v>
      </c>
      <c r="N71" s="57">
        <f>COUNTIFS('Self-Assessment_Cases'!$E$4:$E$657,"MA-5",'Self-Assessment_Cases'!$I4:$I657,"Not Implemented - Risk Accepted")</f>
        <v>0</v>
      </c>
      <c r="O71" s="57">
        <f t="shared" si="27"/>
        <v>0</v>
      </c>
      <c r="P71" s="58">
        <f>COUNTIFS('Self-Assessment_Cases'!$E$4:$E$657,"MA-5",'Self-Assessment_Cases'!$I4:$I657,"Not Implemented - Planned")</f>
        <v>0</v>
      </c>
      <c r="Q71" s="58">
        <f t="shared" si="28"/>
        <v>0</v>
      </c>
      <c r="R71" s="59">
        <f>COUNTIFS('Self-Assessment_Cases'!$E$4:$E$657,"MA-5",'Self-Assessment_Cases'!$I4:$I657,"Not Implemented - Unplanned")</f>
        <v>0</v>
      </c>
      <c r="S71" s="59">
        <f t="shared" si="29"/>
        <v>0</v>
      </c>
      <c r="T71" s="60">
        <f>COUNTIFS('Self-Assessment_Cases'!$E$4:$E$657,"MA-5",'Self-Assessment_Cases'!$I4:$I657,"Not Applicable")</f>
        <v>0</v>
      </c>
      <c r="U71" s="61"/>
      <c r="V71" s="68" t="e">
        <f t="shared" si="30"/>
        <v>#DIV/0!</v>
      </c>
      <c r="W71" s="44">
        <f t="shared" si="31"/>
        <v>0</v>
      </c>
    </row>
    <row r="72" spans="1:23" x14ac:dyDescent="0.2">
      <c r="A72" s="45" t="s">
        <v>124</v>
      </c>
      <c r="B72" s="46">
        <f>COUNTIFS('Self-Assessment_Cases'!$E$4:$E$657,"MP-1",'Self-Assessment_Cases'!$I4:$I657,"Implemented")</f>
        <v>0</v>
      </c>
      <c r="C72" s="63">
        <f t="shared" si="21"/>
        <v>0</v>
      </c>
      <c r="D72" s="47">
        <f>COUNTIFS('Self-Assessment_Cases'!$E$4:$E$657,"MP-1",'Self-Assessment_Cases'!$I4:$I657,"In Progress - Administrative")</f>
        <v>0</v>
      </c>
      <c r="E72" s="64">
        <f t="shared" si="22"/>
        <v>0</v>
      </c>
      <c r="F72" s="62">
        <f>COUNTIFS('Self-Assessment_Cases'!$E$4:$E$657,"MP-1",'Self-Assessment_Cases'!$I4:$I657,"In Progress - Configuration")</f>
        <v>0</v>
      </c>
      <c r="G72" s="65">
        <f t="shared" si="23"/>
        <v>0</v>
      </c>
      <c r="H72" s="48">
        <f>COUNTIFS('Self-Assessment_Cases'!$E$4:$E$657,"MP-1",'Self-Assessment_Cases'!$I4:$I657,"In Progress - Installation/Upgrade")</f>
        <v>0</v>
      </c>
      <c r="I72" s="66">
        <f t="shared" si="24"/>
        <v>0</v>
      </c>
      <c r="J72" s="49">
        <f>COUNTIFS('Self-Assessment_Cases'!$E$4:$E$657,"MP-1",'Self-Assessment_Cases'!$I4:$I657,"Not Implemented - Compensating Control")</f>
        <v>0</v>
      </c>
      <c r="K72" s="67">
        <f t="shared" si="25"/>
        <v>0</v>
      </c>
      <c r="L72" s="50">
        <f>COUNTIFS('Self-Assessment_Cases'!$E$4:$E$657,"MP-1",'Self-Assessment_Cases'!$I4:$I657,"Not Implemented - Risk Negligible")</f>
        <v>0</v>
      </c>
      <c r="M72" s="56">
        <f t="shared" si="26"/>
        <v>0</v>
      </c>
      <c r="N72" s="57">
        <f>COUNTIFS('Self-Assessment_Cases'!$E$4:$E$657,"MP-1",'Self-Assessment_Cases'!$I4:$I657,"Not Implemented - Risk Accepted")</f>
        <v>0</v>
      </c>
      <c r="O72" s="57">
        <f t="shared" si="27"/>
        <v>0</v>
      </c>
      <c r="P72" s="58">
        <f>COUNTIFS('Self-Assessment_Cases'!$E$4:$E$657,"MP-1",'Self-Assessment_Cases'!$I4:$I657,"Not Implemented - Planned")</f>
        <v>0</v>
      </c>
      <c r="Q72" s="58">
        <f t="shared" si="28"/>
        <v>0</v>
      </c>
      <c r="R72" s="59">
        <f>COUNTIFS('Self-Assessment_Cases'!$E$4:$E$657,"MP-1",'Self-Assessment_Cases'!$I4:$I657,"Not Implemented - Unplanned")</f>
        <v>0</v>
      </c>
      <c r="S72" s="59">
        <f t="shared" si="29"/>
        <v>0</v>
      </c>
      <c r="T72" s="60">
        <f>COUNTIFS('Self-Assessment_Cases'!$E$4:$E$657,"MP-1",'Self-Assessment_Cases'!$I4:$I657,"Not Applicable")</f>
        <v>0</v>
      </c>
      <c r="U72" s="61"/>
      <c r="V72" s="68" t="e">
        <f t="shared" si="30"/>
        <v>#DIV/0!</v>
      </c>
      <c r="W72" s="44">
        <f t="shared" si="31"/>
        <v>0</v>
      </c>
    </row>
    <row r="73" spans="1:23" x14ac:dyDescent="0.2">
      <c r="A73" s="45" t="s">
        <v>126</v>
      </c>
      <c r="B73" s="46">
        <f>COUNTIFS('Self-Assessment_Cases'!$E$4:$E$657,"MP-2",'Self-Assessment_Cases'!$I4:$I657,"Implemented")</f>
        <v>0</v>
      </c>
      <c r="C73" s="63">
        <f t="shared" si="21"/>
        <v>0</v>
      </c>
      <c r="D73" s="47">
        <f>COUNTIFS('Self-Assessment_Cases'!$E$4:$E$657,"MP-2",'Self-Assessment_Cases'!$I4:$I657,"In Progress - Administrative")</f>
        <v>0</v>
      </c>
      <c r="E73" s="64">
        <f t="shared" si="22"/>
        <v>0</v>
      </c>
      <c r="F73" s="62">
        <f>COUNTIFS('Self-Assessment_Cases'!$E$4:$E$657,"MP-2",'Self-Assessment_Cases'!$I4:$I657,"In Progress - Configuration")</f>
        <v>0</v>
      </c>
      <c r="G73" s="65">
        <f t="shared" si="23"/>
        <v>0</v>
      </c>
      <c r="H73" s="48">
        <f>COUNTIFS('Self-Assessment_Cases'!$E$4:$E$657,"MP-2",'Self-Assessment_Cases'!$I4:$I657,"In Progress - Installation/Upgrade")</f>
        <v>0</v>
      </c>
      <c r="I73" s="66">
        <f t="shared" si="24"/>
        <v>0</v>
      </c>
      <c r="J73" s="49">
        <f>COUNTIFS('Self-Assessment_Cases'!$E$4:$E$657,"MP-2",'Self-Assessment_Cases'!$I4:$I657,"Not Implemented - Compensating Control")</f>
        <v>0</v>
      </c>
      <c r="K73" s="67">
        <f t="shared" si="25"/>
        <v>0</v>
      </c>
      <c r="L73" s="50">
        <f>COUNTIFS('Self-Assessment_Cases'!$E$4:$E$657,"MP-2",'Self-Assessment_Cases'!$I4:$I657,"Not Implemented - Risk Negligible")</f>
        <v>0</v>
      </c>
      <c r="M73" s="56">
        <f t="shared" si="26"/>
        <v>0</v>
      </c>
      <c r="N73" s="57">
        <f>COUNTIFS('Self-Assessment_Cases'!$E$4:$E$657,"MP-2",'Self-Assessment_Cases'!$I4:$I657,"Not Implemented - Risk Accepted")</f>
        <v>0</v>
      </c>
      <c r="O73" s="57">
        <f t="shared" si="27"/>
        <v>0</v>
      </c>
      <c r="P73" s="58">
        <f>COUNTIFS('Self-Assessment_Cases'!$E$4:$E$657,"MP-2",'Self-Assessment_Cases'!$I4:$I657,"Not Implemented - Planned")</f>
        <v>0</v>
      </c>
      <c r="Q73" s="58">
        <f t="shared" si="28"/>
        <v>0</v>
      </c>
      <c r="R73" s="59">
        <f>COUNTIFS('Self-Assessment_Cases'!$E$4:$E$657,"MP-2",'Self-Assessment_Cases'!$I4:$I657,"Not Implemented - Unplanned")</f>
        <v>0</v>
      </c>
      <c r="S73" s="59">
        <f t="shared" si="29"/>
        <v>0</v>
      </c>
      <c r="T73" s="60">
        <f>COUNTIFS('Self-Assessment_Cases'!$E$4:$E$657,"MP-2",'Self-Assessment_Cases'!$I4:$I657,"Not Applicable")</f>
        <v>0</v>
      </c>
      <c r="U73" s="61"/>
      <c r="V73" s="68" t="e">
        <f t="shared" si="30"/>
        <v>#DIV/0!</v>
      </c>
      <c r="W73" s="44">
        <f t="shared" si="31"/>
        <v>0</v>
      </c>
    </row>
    <row r="74" spans="1:23" ht="15" customHeight="1" x14ac:dyDescent="0.2">
      <c r="A74" s="45" t="s">
        <v>128</v>
      </c>
      <c r="B74" s="46">
        <f>COUNTIFS('Self-Assessment_Cases'!$E$4:$E$657,"MP-4",'Self-Assessment_Cases'!$I4:$I657,"Implemented")</f>
        <v>0</v>
      </c>
      <c r="C74" s="63">
        <f t="shared" si="21"/>
        <v>0</v>
      </c>
      <c r="D74" s="47">
        <f>COUNTIFS('Self-Assessment_Cases'!$E$4:$E$657,"MP-4",'Self-Assessment_Cases'!$I4:$I657,"In Progress - Administrative")</f>
        <v>0</v>
      </c>
      <c r="E74" s="64">
        <f t="shared" si="22"/>
        <v>0</v>
      </c>
      <c r="F74" s="62">
        <f>COUNTIFS('Self-Assessment_Cases'!$E$4:$E$657,"MP-4",'Self-Assessment_Cases'!$I4:$I657,"In Progress - Configuration")</f>
        <v>0</v>
      </c>
      <c r="G74" s="65">
        <f t="shared" si="23"/>
        <v>0</v>
      </c>
      <c r="H74" s="48">
        <f>COUNTIFS('Self-Assessment_Cases'!$E$4:$E$657,"MP-4",'Self-Assessment_Cases'!$I4:$I657,"In Progress - Installation/Upgrade")</f>
        <v>0</v>
      </c>
      <c r="I74" s="66">
        <f t="shared" si="24"/>
        <v>0</v>
      </c>
      <c r="J74" s="49">
        <f>COUNTIFS('Self-Assessment_Cases'!$E$4:$E$657,"MP-4",'Self-Assessment_Cases'!$I4:$I657,"Not Implemented - Compensating Control")</f>
        <v>0</v>
      </c>
      <c r="K74" s="67">
        <f t="shared" si="25"/>
        <v>0</v>
      </c>
      <c r="L74" s="50">
        <f>COUNTIFS('Self-Assessment_Cases'!$E$4:$E$657,"MP-4",'Self-Assessment_Cases'!$I4:$I657,"Not Implemented - Risk Negligible")</f>
        <v>0</v>
      </c>
      <c r="M74" s="56">
        <f t="shared" si="26"/>
        <v>0</v>
      </c>
      <c r="N74" s="57">
        <f>COUNTIFS('Self-Assessment_Cases'!$E$4:$E$657,"MP-4",'Self-Assessment_Cases'!$I4:$I657,"Not Implemented - Risk Accepted")</f>
        <v>0</v>
      </c>
      <c r="O74" s="57">
        <f t="shared" si="27"/>
        <v>0</v>
      </c>
      <c r="P74" s="58">
        <f>COUNTIFS('Self-Assessment_Cases'!$E$4:$E$657,"MP-4",'Self-Assessment_Cases'!$I4:$I657,"Not Implemented - Planned")</f>
        <v>0</v>
      </c>
      <c r="Q74" s="58">
        <f t="shared" si="28"/>
        <v>0</v>
      </c>
      <c r="R74" s="59">
        <f>COUNTIFS('Self-Assessment_Cases'!$E$4:$E$657,"MP-4",'Self-Assessment_Cases'!$I4:$I657,"Not Implemented - Unplanned")</f>
        <v>0</v>
      </c>
      <c r="S74" s="59">
        <f t="shared" si="29"/>
        <v>0</v>
      </c>
      <c r="T74" s="60">
        <f>COUNTIFS('Self-Assessment_Cases'!$E$4:$E$657,"MP-4",'Self-Assessment_Cases'!$I4:$I657,"Not Applicable")</f>
        <v>0</v>
      </c>
      <c r="U74" s="61"/>
      <c r="V74" s="68" t="e">
        <f t="shared" si="30"/>
        <v>#DIV/0!</v>
      </c>
      <c r="W74" s="44">
        <f t="shared" si="31"/>
        <v>0</v>
      </c>
    </row>
    <row r="75" spans="1:23" ht="15" customHeight="1" x14ac:dyDescent="0.2">
      <c r="A75" s="45" t="s">
        <v>130</v>
      </c>
      <c r="B75" s="46">
        <f>COUNTIFS('Self-Assessment_Cases'!$E$4:$E$657,"MP-5",'Self-Assessment_Cases'!$I4:$I657,"Implemented")</f>
        <v>0</v>
      </c>
      <c r="C75" s="63">
        <f t="shared" si="21"/>
        <v>0</v>
      </c>
      <c r="D75" s="47">
        <f>COUNTIFS('Self-Assessment_Cases'!$E$4:$E$657,"MP-5",'Self-Assessment_Cases'!$I4:$I657,"In Progress - Administrative")</f>
        <v>0</v>
      </c>
      <c r="E75" s="64">
        <f t="shared" si="22"/>
        <v>0</v>
      </c>
      <c r="F75" s="62">
        <f>COUNTIFS('Self-Assessment_Cases'!$E$4:$E$657,"MP-5",'Self-Assessment_Cases'!$I4:$I657,"In Progress - Configuration")</f>
        <v>0</v>
      </c>
      <c r="G75" s="65">
        <f t="shared" si="23"/>
        <v>0</v>
      </c>
      <c r="H75" s="48">
        <f>COUNTIFS('Self-Assessment_Cases'!$E$4:$E$657,"MP-5",'Self-Assessment_Cases'!$I4:$I657,"In Progress - Installation/Upgrade")</f>
        <v>0</v>
      </c>
      <c r="I75" s="66">
        <f t="shared" si="24"/>
        <v>0</v>
      </c>
      <c r="J75" s="49">
        <f>COUNTIFS('Self-Assessment_Cases'!$E$4:$E$657,"MP-5",'Self-Assessment_Cases'!$I4:$I657,"Not Implemented - Compensating Control")</f>
        <v>0</v>
      </c>
      <c r="K75" s="67">
        <f t="shared" si="25"/>
        <v>0</v>
      </c>
      <c r="L75" s="50">
        <f>COUNTIFS('Self-Assessment_Cases'!$E$4:$E$657,"MP-5",'Self-Assessment_Cases'!$I4:$I657,"Not Implemented - Risk Negligible")</f>
        <v>0</v>
      </c>
      <c r="M75" s="56">
        <f t="shared" si="26"/>
        <v>0</v>
      </c>
      <c r="N75" s="57">
        <f>COUNTIFS('Self-Assessment_Cases'!$E$4:$E$657,"MP-5",'Self-Assessment_Cases'!$I4:$I657,"Not Implemented - Risk Accepted")</f>
        <v>0</v>
      </c>
      <c r="O75" s="57">
        <f t="shared" si="27"/>
        <v>0</v>
      </c>
      <c r="P75" s="58">
        <f>COUNTIFS('Self-Assessment_Cases'!$E$4:$E$657,"MP-5",'Self-Assessment_Cases'!$I4:$I657,"Not Implemented - Planned")</f>
        <v>0</v>
      </c>
      <c r="Q75" s="58">
        <f t="shared" si="28"/>
        <v>0</v>
      </c>
      <c r="R75" s="59">
        <f>COUNTIFS('Self-Assessment_Cases'!$E$4:$E$657,"MP-5",'Self-Assessment_Cases'!$I4:$I657,"Not Implemented - Unplanned")</f>
        <v>0</v>
      </c>
      <c r="S75" s="59">
        <f t="shared" si="29"/>
        <v>0</v>
      </c>
      <c r="T75" s="60">
        <f>COUNTIFS('Self-Assessment_Cases'!$E$4:$E$657,"MP-5",'Self-Assessment_Cases'!$I4:$I657,"Not Applicable")</f>
        <v>0</v>
      </c>
      <c r="U75" s="61"/>
      <c r="V75" s="68" t="e">
        <f t="shared" si="30"/>
        <v>#DIV/0!</v>
      </c>
      <c r="W75" s="44">
        <f t="shared" si="31"/>
        <v>0</v>
      </c>
    </row>
    <row r="76" spans="1:23" x14ac:dyDescent="0.2">
      <c r="A76" s="45" t="s">
        <v>132</v>
      </c>
      <c r="B76" s="46">
        <f>COUNTIFS('Self-Assessment_Cases'!$E$4:$E$657,"MP-6",'Self-Assessment_Cases'!$I4:$I657,"Implemented")</f>
        <v>0</v>
      </c>
      <c r="C76" s="63">
        <f t="shared" si="21"/>
        <v>0</v>
      </c>
      <c r="D76" s="47">
        <f>COUNTIFS('Self-Assessment_Cases'!$E$4:$E$657,"MP-6",'Self-Assessment_Cases'!$I4:$I657,"In Progress - Administrative")</f>
        <v>0</v>
      </c>
      <c r="E76" s="64">
        <f t="shared" si="22"/>
        <v>0</v>
      </c>
      <c r="F76" s="62">
        <f>COUNTIFS('Self-Assessment_Cases'!$E$4:$E$657,"MP-6",'Self-Assessment_Cases'!$I4:$I657,"In Progress - Configuration")</f>
        <v>0</v>
      </c>
      <c r="G76" s="65">
        <f t="shared" si="23"/>
        <v>0</v>
      </c>
      <c r="H76" s="48">
        <f>COUNTIFS('Self-Assessment_Cases'!$E$4:$E$657,"MP-6",'Self-Assessment_Cases'!$I4:$I657,"In Progress - Installation/Upgrade")</f>
        <v>0</v>
      </c>
      <c r="I76" s="66">
        <f t="shared" si="24"/>
        <v>0</v>
      </c>
      <c r="J76" s="49">
        <f>COUNTIFS('Self-Assessment_Cases'!$E$4:$E$657,"MP-6",'Self-Assessment_Cases'!$I4:$I657,"Not Implemented - Compensating Control")</f>
        <v>0</v>
      </c>
      <c r="K76" s="67">
        <f t="shared" si="25"/>
        <v>0</v>
      </c>
      <c r="L76" s="50">
        <f>COUNTIFS('Self-Assessment_Cases'!$E$4:$E$657,"MP-6",'Self-Assessment_Cases'!$I4:$I657,"Not Implemented - Risk Negligible")</f>
        <v>0</v>
      </c>
      <c r="M76" s="56">
        <f t="shared" si="26"/>
        <v>0</v>
      </c>
      <c r="N76" s="57">
        <f>COUNTIFS('Self-Assessment_Cases'!$E$4:$E$657,"MP-6",'Self-Assessment_Cases'!$I4:$I657,"Not Implemented - Risk Accepted")</f>
        <v>0</v>
      </c>
      <c r="O76" s="57">
        <f t="shared" si="27"/>
        <v>0</v>
      </c>
      <c r="P76" s="58">
        <f>COUNTIFS('Self-Assessment_Cases'!$E$4:$E$657,"MP-6",'Self-Assessment_Cases'!$I4:$I657,"Not Implemented - Planned")</f>
        <v>0</v>
      </c>
      <c r="Q76" s="58">
        <f t="shared" si="28"/>
        <v>0</v>
      </c>
      <c r="R76" s="59">
        <f>COUNTIFS('Self-Assessment_Cases'!$E$4:$E$657,"MP-6",'Self-Assessment_Cases'!$I4:$I657,"Not Implemented - Unplanned")</f>
        <v>0</v>
      </c>
      <c r="S76" s="59">
        <f t="shared" si="29"/>
        <v>0</v>
      </c>
      <c r="T76" s="60">
        <f>COUNTIFS('Self-Assessment_Cases'!$E$4:$E$657,"MP-6",'Self-Assessment_Cases'!$I4:$I657,"Not Applicable")</f>
        <v>0</v>
      </c>
      <c r="U76" s="61"/>
      <c r="V76" s="68" t="e">
        <f t="shared" si="30"/>
        <v>#DIV/0!</v>
      </c>
      <c r="W76" s="44">
        <f t="shared" si="31"/>
        <v>0</v>
      </c>
    </row>
    <row r="77" spans="1:23" ht="15" customHeight="1" x14ac:dyDescent="0.2">
      <c r="A77" s="45" t="s">
        <v>134</v>
      </c>
      <c r="B77" s="46">
        <f>COUNTIFS('Self-Assessment_Cases'!$E$4:$E$657,"MP-7",'Self-Assessment_Cases'!$I4:$I657,"Implemented")</f>
        <v>0</v>
      </c>
      <c r="C77" s="63">
        <f t="shared" si="21"/>
        <v>0</v>
      </c>
      <c r="D77" s="47">
        <f>COUNTIFS('Self-Assessment_Cases'!$E$4:$E$657,"MP-7",'Self-Assessment_Cases'!$I4:$I657,"In Progress - Administrative")</f>
        <v>0</v>
      </c>
      <c r="E77" s="64">
        <f t="shared" si="22"/>
        <v>0</v>
      </c>
      <c r="F77" s="62">
        <f>COUNTIFS('Self-Assessment_Cases'!$E$4:$E$657,"MP-7",'Self-Assessment_Cases'!$I4:$I657,"In Progress - Configuration")</f>
        <v>0</v>
      </c>
      <c r="G77" s="65">
        <f t="shared" si="23"/>
        <v>0</v>
      </c>
      <c r="H77" s="48">
        <f>COUNTIFS('Self-Assessment_Cases'!$E$4:$E$657,"MP-7",'Self-Assessment_Cases'!$I4:$I657,"In Progress - Installation/Upgrade")</f>
        <v>0</v>
      </c>
      <c r="I77" s="66">
        <f t="shared" si="24"/>
        <v>0</v>
      </c>
      <c r="J77" s="49">
        <f>COUNTIFS('Self-Assessment_Cases'!$E$4:$E$657,"MP-7",'Self-Assessment_Cases'!$I4:$I657,"Not Implemented - Compensating Control")</f>
        <v>0</v>
      </c>
      <c r="K77" s="67">
        <f t="shared" si="25"/>
        <v>0</v>
      </c>
      <c r="L77" s="50">
        <f>COUNTIFS('Self-Assessment_Cases'!$E$4:$E$657,"MP-7",'Self-Assessment_Cases'!$I4:$I657,"Not Implemented - Risk Negligible")</f>
        <v>0</v>
      </c>
      <c r="M77" s="56">
        <f t="shared" si="26"/>
        <v>0</v>
      </c>
      <c r="N77" s="57">
        <f>COUNTIFS('Self-Assessment_Cases'!$E$4:$E$657,"MP-7",'Self-Assessment_Cases'!$I4:$I657,"Not Implemented - Risk Accepted")</f>
        <v>0</v>
      </c>
      <c r="O77" s="57">
        <f t="shared" si="27"/>
        <v>0</v>
      </c>
      <c r="P77" s="58">
        <f>COUNTIFS('Self-Assessment_Cases'!$E$4:$E$657,"MP-7",'Self-Assessment_Cases'!$I4:$I657,"Not Implemented - Planned")</f>
        <v>0</v>
      </c>
      <c r="Q77" s="58">
        <f t="shared" si="28"/>
        <v>0</v>
      </c>
      <c r="R77" s="59">
        <f>COUNTIFS('Self-Assessment_Cases'!$E$4:$E$657,"MP-7",'Self-Assessment_Cases'!$I4:$I657,"Not Implemented - Unplanned")</f>
        <v>0</v>
      </c>
      <c r="S77" s="59">
        <f t="shared" si="29"/>
        <v>0</v>
      </c>
      <c r="T77" s="60">
        <f>COUNTIFS('Self-Assessment_Cases'!$E$4:$E$657,"MP-7",'Self-Assessment_Cases'!$I4:$I657,"Not Applicable")</f>
        <v>0</v>
      </c>
      <c r="U77" s="61"/>
      <c r="V77" s="68" t="e">
        <f t="shared" si="30"/>
        <v>#DIV/0!</v>
      </c>
      <c r="W77" s="44">
        <f t="shared" si="31"/>
        <v>0</v>
      </c>
    </row>
    <row r="78" spans="1:23" x14ac:dyDescent="0.2">
      <c r="A78" s="45" t="s">
        <v>136</v>
      </c>
      <c r="B78" s="46">
        <f>COUNTIFS('Self-Assessment_Cases'!$E$4:$E$657,"PE-1",'Self-Assessment_Cases'!$I4:$I657,"Implemented")</f>
        <v>0</v>
      </c>
      <c r="C78" s="63">
        <f t="shared" si="21"/>
        <v>0</v>
      </c>
      <c r="D78" s="47">
        <f>COUNTIFS('Self-Assessment_Cases'!$E$4:$E$657,"PE-1",'Self-Assessment_Cases'!$I4:$I657,"In Progress - Administrative")</f>
        <v>0</v>
      </c>
      <c r="E78" s="64">
        <f t="shared" si="22"/>
        <v>0</v>
      </c>
      <c r="F78" s="62">
        <f>COUNTIFS('Self-Assessment_Cases'!$E$4:$E$657,"PE-1",'Self-Assessment_Cases'!$I4:$I657,"In Progress - Configuration")</f>
        <v>0</v>
      </c>
      <c r="G78" s="65">
        <f t="shared" si="23"/>
        <v>0</v>
      </c>
      <c r="H78" s="48">
        <f>COUNTIFS('Self-Assessment_Cases'!$E$4:$E$657,"PE-1",'Self-Assessment_Cases'!$I4:$I657,"In Progress - Installation/Upgrade")</f>
        <v>0</v>
      </c>
      <c r="I78" s="66">
        <f t="shared" si="24"/>
        <v>0</v>
      </c>
      <c r="J78" s="49">
        <f>COUNTIFS('Self-Assessment_Cases'!$E$4:$E$657,"PE-1",'Self-Assessment_Cases'!$I4:$I657,"Not Implemented - Compensating Control")</f>
        <v>0</v>
      </c>
      <c r="K78" s="67">
        <f t="shared" si="25"/>
        <v>0</v>
      </c>
      <c r="L78" s="50">
        <f>COUNTIFS('Self-Assessment_Cases'!$E$4:$E$657,"PE-1",'Self-Assessment_Cases'!$I4:$I657,"Not Implemented - Risk Negligible")</f>
        <v>0</v>
      </c>
      <c r="M78" s="56">
        <f t="shared" si="26"/>
        <v>0</v>
      </c>
      <c r="N78" s="57">
        <f>COUNTIFS('Self-Assessment_Cases'!$E$4:$E$657,"PE-1",'Self-Assessment_Cases'!$I4:$I657,"Not Implemented - Risk Accepted")</f>
        <v>0</v>
      </c>
      <c r="O78" s="57">
        <f t="shared" si="27"/>
        <v>0</v>
      </c>
      <c r="P78" s="58">
        <f>COUNTIFS('Self-Assessment_Cases'!$E$4:$E$657,"PE-1",'Self-Assessment_Cases'!$I4:$I657,"Not Implemented - Planned")</f>
        <v>0</v>
      </c>
      <c r="Q78" s="58">
        <f t="shared" si="28"/>
        <v>0</v>
      </c>
      <c r="R78" s="59">
        <f>COUNTIFS('Self-Assessment_Cases'!$E$4:$E$657,"PE-1",'Self-Assessment_Cases'!$I4:$I657,"Not Implemented - Unplanned")</f>
        <v>0</v>
      </c>
      <c r="S78" s="59">
        <f t="shared" si="29"/>
        <v>0</v>
      </c>
      <c r="T78" s="60">
        <f>COUNTIFS('Self-Assessment_Cases'!$E$4:$E$657,"PE-1",'Self-Assessment_Cases'!$I4:$I657,"Not Applicable")</f>
        <v>0</v>
      </c>
      <c r="U78" s="61"/>
      <c r="V78" s="68" t="e">
        <f t="shared" si="30"/>
        <v>#DIV/0!</v>
      </c>
      <c r="W78" s="44">
        <f t="shared" si="31"/>
        <v>0</v>
      </c>
    </row>
    <row r="79" spans="1:23" ht="15" customHeight="1" x14ac:dyDescent="0.2">
      <c r="A79" s="45" t="s">
        <v>146</v>
      </c>
      <c r="B79" s="46">
        <f>COUNTIFS('Self-Assessment_Cases'!$E$4:$E$657,"PE-16",'Self-Assessment_Cases'!$I4:$I657,"Implemented")</f>
        <v>0</v>
      </c>
      <c r="C79" s="63">
        <f t="shared" si="21"/>
        <v>0</v>
      </c>
      <c r="D79" s="47">
        <f>COUNTIFS('Self-Assessment_Cases'!$E$4:$E$657,"PE-16",'Self-Assessment_Cases'!$I4:$I657,"In Progress - Administrative")</f>
        <v>0</v>
      </c>
      <c r="E79" s="64">
        <f t="shared" si="22"/>
        <v>0</v>
      </c>
      <c r="F79" s="62">
        <f>COUNTIFS('Self-Assessment_Cases'!$E$4:$E$657,"PE-16",'Self-Assessment_Cases'!$I4:$I657,"In Progress - Configuration")</f>
        <v>0</v>
      </c>
      <c r="G79" s="65">
        <f t="shared" si="23"/>
        <v>0</v>
      </c>
      <c r="H79" s="48">
        <f>COUNTIFS('Self-Assessment_Cases'!$E$4:$E$657,"PE-16",'Self-Assessment_Cases'!$I4:$I657,"In Progress - Installation/Upgrade")</f>
        <v>0</v>
      </c>
      <c r="I79" s="66">
        <f t="shared" si="24"/>
        <v>0</v>
      </c>
      <c r="J79" s="49">
        <f>COUNTIFS('Self-Assessment_Cases'!$E$4:$E$657,"PE-16",'Self-Assessment_Cases'!$I4:$I657,"Not Implemented - Compensating Control")</f>
        <v>0</v>
      </c>
      <c r="K79" s="67">
        <f t="shared" si="25"/>
        <v>0</v>
      </c>
      <c r="L79" s="50">
        <f>COUNTIFS('Self-Assessment_Cases'!$E$4:$E$657,"PE-16",'Self-Assessment_Cases'!$I4:$I657,"Not Implemented - Risk Negligible")</f>
        <v>0</v>
      </c>
      <c r="M79" s="56">
        <f t="shared" si="26"/>
        <v>0</v>
      </c>
      <c r="N79" s="57">
        <f>COUNTIFS('Self-Assessment_Cases'!$E$4:$E$657,"PE-16",'Self-Assessment_Cases'!$I4:$I657,"Not Implemented - Risk Accepted")</f>
        <v>0</v>
      </c>
      <c r="O79" s="57">
        <f t="shared" si="27"/>
        <v>0</v>
      </c>
      <c r="P79" s="58">
        <f>COUNTIFS('Self-Assessment_Cases'!$E$4:$E$657,"PE-16",'Self-Assessment_Cases'!$I4:$I657,"Not Implemented - Planned")</f>
        <v>0</v>
      </c>
      <c r="Q79" s="58">
        <f t="shared" si="28"/>
        <v>0</v>
      </c>
      <c r="R79" s="59">
        <f>COUNTIFS('Self-Assessment_Cases'!$E$4:$E$657,"PE-16",'Self-Assessment_Cases'!$I4:$I657,"Not Implemented - Unplanned")</f>
        <v>0</v>
      </c>
      <c r="S79" s="59">
        <f t="shared" si="29"/>
        <v>0</v>
      </c>
      <c r="T79" s="60">
        <f>COUNTIFS('Self-Assessment_Cases'!$E$4:$E$657,"PE-16",'Self-Assessment_Cases'!$I4:$I657,"Not Applicable")</f>
        <v>0</v>
      </c>
      <c r="U79" s="61"/>
      <c r="V79" s="68" t="e">
        <f t="shared" si="30"/>
        <v>#DIV/0!</v>
      </c>
      <c r="W79" s="44">
        <f t="shared" si="31"/>
        <v>0</v>
      </c>
    </row>
    <row r="80" spans="1:23" ht="15" customHeight="1" x14ac:dyDescent="0.2">
      <c r="A80" s="45" t="s">
        <v>226</v>
      </c>
      <c r="B80" s="46">
        <f>COUNTIFS('Self-Assessment_Cases'!$E$4:$E$657,"PE-18",'Self-Assessment_Cases'!$I4:$I657,"Implemented")</f>
        <v>0</v>
      </c>
      <c r="C80" s="63">
        <f t="shared" si="21"/>
        <v>0</v>
      </c>
      <c r="D80" s="47">
        <f>COUNTIFS('Self-Assessment_Cases'!$E$4:$E$657,"PE-18",'Self-Assessment_Cases'!$I4:$I657,"In Progress - Administrative")</f>
        <v>0</v>
      </c>
      <c r="E80" s="64">
        <f t="shared" si="22"/>
        <v>0</v>
      </c>
      <c r="F80" s="62">
        <f>COUNTIFS('Self-Assessment_Cases'!$E$4:$E$657,"PE-18",'Self-Assessment_Cases'!$I4:$I657,"In Progress - Configuration")</f>
        <v>0</v>
      </c>
      <c r="G80" s="65">
        <f t="shared" si="23"/>
        <v>0</v>
      </c>
      <c r="H80" s="48">
        <f>COUNTIFS('Self-Assessment_Cases'!$E$4:$E$657,"PE-18",'Self-Assessment_Cases'!$I4:$I657,"In Progress - Installation/Upgrade")</f>
        <v>0</v>
      </c>
      <c r="I80" s="66">
        <f t="shared" si="24"/>
        <v>0</v>
      </c>
      <c r="J80" s="49">
        <f>COUNTIFS('Self-Assessment_Cases'!$E$4:$E$657,"PE-18",'Self-Assessment_Cases'!$I4:$I657,"Not Implemented - Compensating Control")</f>
        <v>0</v>
      </c>
      <c r="K80" s="67">
        <f t="shared" si="25"/>
        <v>0</v>
      </c>
      <c r="L80" s="50">
        <f>COUNTIFS('Self-Assessment_Cases'!$E$4:$E$657,"PE-18",'Self-Assessment_Cases'!$I4:$I657,"Not Implemented - Risk Negligible")</f>
        <v>0</v>
      </c>
      <c r="M80" s="56">
        <f t="shared" si="26"/>
        <v>0</v>
      </c>
      <c r="N80" s="57">
        <f>COUNTIFS('Self-Assessment_Cases'!$E$4:$E$657,"PE-18",'Self-Assessment_Cases'!$I4:$I657,"Not Implemented - Risk Accepted")</f>
        <v>0</v>
      </c>
      <c r="O80" s="57">
        <f t="shared" si="27"/>
        <v>0</v>
      </c>
      <c r="P80" s="58">
        <f>COUNTIFS('Self-Assessment_Cases'!$E$4:$E$657,"PE-18",'Self-Assessment_Cases'!$I4:$I657,"Not Implemented - Planned")</f>
        <v>0</v>
      </c>
      <c r="Q80" s="58">
        <f t="shared" si="28"/>
        <v>0</v>
      </c>
      <c r="R80" s="59">
        <f>COUNTIFS('Self-Assessment_Cases'!$E$4:$E$657,"PE-18",'Self-Assessment_Cases'!$I4:$I657,"Not Implemented - Unplanned")</f>
        <v>0</v>
      </c>
      <c r="S80" s="59">
        <f t="shared" si="29"/>
        <v>0</v>
      </c>
      <c r="T80" s="60">
        <f>COUNTIFS('Self-Assessment_Cases'!$E$4:$E$657,"PE-18",'Self-Assessment_Cases'!$I4:$I657,"Not Applicable")</f>
        <v>0</v>
      </c>
      <c r="U80" s="61"/>
      <c r="V80" s="68" t="e">
        <f t="shared" si="30"/>
        <v>#DIV/0!</v>
      </c>
      <c r="W80" s="44">
        <f t="shared" si="31"/>
        <v>0</v>
      </c>
    </row>
    <row r="81" spans="1:23" ht="15" customHeight="1" x14ac:dyDescent="0.2">
      <c r="A81" s="45" t="s">
        <v>227</v>
      </c>
      <c r="B81" s="46">
        <f>COUNTIFS('Self-Assessment_Cases'!$E$4:$E$657,"PE-19",'Self-Assessment_Cases'!$I4:$I657,"Implemented")</f>
        <v>0</v>
      </c>
      <c r="C81" s="63">
        <f t="shared" si="21"/>
        <v>0</v>
      </c>
      <c r="D81" s="47">
        <f>COUNTIFS('Self-Assessment_Cases'!$E$4:$E$657,"PE-19",'Self-Assessment_Cases'!$I4:$I657,"In Progress - Administrative")</f>
        <v>0</v>
      </c>
      <c r="E81" s="64">
        <f t="shared" si="22"/>
        <v>0</v>
      </c>
      <c r="F81" s="62">
        <f>COUNTIFS('Self-Assessment_Cases'!$E$4:$E$657,"PE-19",'Self-Assessment_Cases'!$I4:$I657,"In Progress - Configuration")</f>
        <v>0</v>
      </c>
      <c r="G81" s="65">
        <f t="shared" si="23"/>
        <v>0</v>
      </c>
      <c r="H81" s="48">
        <f>COUNTIFS('Self-Assessment_Cases'!$E$4:$E$657,"PE-19",'Self-Assessment_Cases'!$I4:$I657,"In Progress - Installation/Upgrade")</f>
        <v>0</v>
      </c>
      <c r="I81" s="66">
        <f t="shared" si="24"/>
        <v>0</v>
      </c>
      <c r="J81" s="49">
        <f>COUNTIFS('Self-Assessment_Cases'!$E$4:$E$657,"PE-19",'Self-Assessment_Cases'!$I4:$I657,"Not Implemented - Compensating Control")</f>
        <v>0</v>
      </c>
      <c r="K81" s="67">
        <f t="shared" si="25"/>
        <v>0</v>
      </c>
      <c r="L81" s="50">
        <f>COUNTIFS('Self-Assessment_Cases'!$E$4:$E$657,"PE-19",'Self-Assessment_Cases'!$I4:$I657,"Not Implemented - Risk Negligible")</f>
        <v>0</v>
      </c>
      <c r="M81" s="56">
        <f t="shared" si="26"/>
        <v>0</v>
      </c>
      <c r="N81" s="57">
        <f>COUNTIFS('Self-Assessment_Cases'!$E$4:$E$657,"PE-19",'Self-Assessment_Cases'!$I4:$I657,"Not Implemented - Risk Accepted")</f>
        <v>0</v>
      </c>
      <c r="O81" s="57">
        <f t="shared" si="27"/>
        <v>0</v>
      </c>
      <c r="P81" s="58">
        <f>COUNTIFS('Self-Assessment_Cases'!$E$4:$E$657,"PE-19",'Self-Assessment_Cases'!$I4:$I657,"Not Implemented - Planned")</f>
        <v>0</v>
      </c>
      <c r="Q81" s="58">
        <f t="shared" si="28"/>
        <v>0</v>
      </c>
      <c r="R81" s="59">
        <f>COUNTIFS('Self-Assessment_Cases'!$E$4:$E$657,"PE-19",'Self-Assessment_Cases'!$I4:$I657,"Not Implemented - Unplanned")</f>
        <v>0</v>
      </c>
      <c r="S81" s="59">
        <f t="shared" si="29"/>
        <v>0</v>
      </c>
      <c r="T81" s="60">
        <f>COUNTIFS('Self-Assessment_Cases'!$E$4:$E$657,"PE-19",'Self-Assessment_Cases'!$I4:$I657,"Not Applicable")</f>
        <v>0</v>
      </c>
      <c r="U81" s="61"/>
      <c r="V81" s="68" t="e">
        <f t="shared" si="30"/>
        <v>#DIV/0!</v>
      </c>
      <c r="W81" s="44">
        <f t="shared" si="31"/>
        <v>0</v>
      </c>
    </row>
    <row r="82" spans="1:23" ht="15" customHeight="1" x14ac:dyDescent="0.2">
      <c r="A82" s="45" t="s">
        <v>138</v>
      </c>
      <c r="B82" s="46">
        <f>COUNTIFS('Self-Assessment_Cases'!$E$4:$E$657,"PE-2",'Self-Assessment_Cases'!$I4:$I657,"Implemented")</f>
        <v>0</v>
      </c>
      <c r="C82" s="63">
        <f t="shared" si="21"/>
        <v>0</v>
      </c>
      <c r="D82" s="47">
        <f>COUNTIFS('Self-Assessment_Cases'!$E$4:$E$657,"PE-2",'Self-Assessment_Cases'!$I4:$I657,"In Progress - Administrative")</f>
        <v>0</v>
      </c>
      <c r="E82" s="64">
        <f t="shared" si="22"/>
        <v>0</v>
      </c>
      <c r="F82" s="62">
        <f>COUNTIFS('Self-Assessment_Cases'!$E$4:$E$657,"PE-2",'Self-Assessment_Cases'!$I4:$I657,"In Progress - Configuration")</f>
        <v>0</v>
      </c>
      <c r="G82" s="65">
        <f t="shared" si="23"/>
        <v>0</v>
      </c>
      <c r="H82" s="48">
        <f>COUNTIFS('Self-Assessment_Cases'!$E$4:$E$657,"PE-2",'Self-Assessment_Cases'!$I4:$I657,"In Progress - Installation/Upgrade")</f>
        <v>0</v>
      </c>
      <c r="I82" s="66">
        <f t="shared" si="24"/>
        <v>0</v>
      </c>
      <c r="J82" s="49">
        <f>COUNTIFS('Self-Assessment_Cases'!$E$4:$E$657,"PE-2",'Self-Assessment_Cases'!$I4:$I657,"Not Implemented - Compensating Control")</f>
        <v>0</v>
      </c>
      <c r="K82" s="67">
        <f t="shared" si="25"/>
        <v>0</v>
      </c>
      <c r="L82" s="50">
        <f>COUNTIFS('Self-Assessment_Cases'!$E$4:$E$657,"PE-2",'Self-Assessment_Cases'!$I4:$I657,"Not Implemented - Risk Negligible")</f>
        <v>0</v>
      </c>
      <c r="M82" s="56">
        <f t="shared" si="26"/>
        <v>0</v>
      </c>
      <c r="N82" s="57">
        <f>COUNTIFS('Self-Assessment_Cases'!$E$4:$E$657,"PE-2",'Self-Assessment_Cases'!$I4:$I657,"Not Implemented - Risk Accepted")</f>
        <v>0</v>
      </c>
      <c r="O82" s="57">
        <f t="shared" si="27"/>
        <v>0</v>
      </c>
      <c r="P82" s="58">
        <f>COUNTIFS('Self-Assessment_Cases'!$E$4:$E$657,"PE-2",'Self-Assessment_Cases'!$I4:$I657,"Not Implemented - Planned")</f>
        <v>0</v>
      </c>
      <c r="Q82" s="58">
        <f t="shared" si="28"/>
        <v>0</v>
      </c>
      <c r="R82" s="59">
        <f>COUNTIFS('Self-Assessment_Cases'!$E$4:$E$657,"PE-2",'Self-Assessment_Cases'!$I4:$I657,"Not Implemented - Unplanned")</f>
        <v>0</v>
      </c>
      <c r="S82" s="59">
        <f t="shared" si="29"/>
        <v>0</v>
      </c>
      <c r="T82" s="60">
        <f>COUNTIFS('Self-Assessment_Cases'!$E$4:$E$657,"PE-2",'Self-Assessment_Cases'!$I4:$I657,"Not Applicable")</f>
        <v>0</v>
      </c>
      <c r="U82" s="61"/>
      <c r="V82" s="68" t="e">
        <f t="shared" si="30"/>
        <v>#DIV/0!</v>
      </c>
      <c r="W82" s="44">
        <f t="shared" si="31"/>
        <v>0</v>
      </c>
    </row>
    <row r="83" spans="1:23" ht="15" customHeight="1" x14ac:dyDescent="0.2">
      <c r="A83" s="45" t="s">
        <v>228</v>
      </c>
      <c r="B83" s="46">
        <f>COUNTIFS('Self-Assessment_Cases'!$E$4:$E$657,"PE-20",'Self-Assessment_Cases'!$I4:$I657,"Implemented")</f>
        <v>0</v>
      </c>
      <c r="C83" s="63">
        <f t="shared" si="21"/>
        <v>0</v>
      </c>
      <c r="D83" s="47">
        <f>COUNTIFS('Self-Assessment_Cases'!$E$4:$E$657,"PE-20",'Self-Assessment_Cases'!$I4:$I657,"In Progress - Administrative")</f>
        <v>0</v>
      </c>
      <c r="E83" s="64">
        <f t="shared" si="22"/>
        <v>0</v>
      </c>
      <c r="F83" s="62">
        <f>COUNTIFS('Self-Assessment_Cases'!$E$4:$E$657,"PE-20",'Self-Assessment_Cases'!$I4:$I657,"In Progress - Configuration")</f>
        <v>0</v>
      </c>
      <c r="G83" s="65">
        <f t="shared" si="23"/>
        <v>0</v>
      </c>
      <c r="H83" s="48">
        <f>COUNTIFS('Self-Assessment_Cases'!$E$4:$E$657,"PE-20",'Self-Assessment_Cases'!$I4:$I657,"In Progress - Installation/Upgrade")</f>
        <v>0</v>
      </c>
      <c r="I83" s="66">
        <f t="shared" si="24"/>
        <v>0</v>
      </c>
      <c r="J83" s="49">
        <f>COUNTIFS('Self-Assessment_Cases'!$E$4:$E$657,"PE-20",'Self-Assessment_Cases'!$I4:$I657,"Not Implemented - Compensating Control")</f>
        <v>0</v>
      </c>
      <c r="K83" s="67">
        <f t="shared" si="25"/>
        <v>0</v>
      </c>
      <c r="L83" s="50">
        <f>COUNTIFS('Self-Assessment_Cases'!$E$4:$E$657,"PE-20",'Self-Assessment_Cases'!$I4:$I657,"Not Implemented - Risk Negligible")</f>
        <v>0</v>
      </c>
      <c r="M83" s="56">
        <f t="shared" si="26"/>
        <v>0</v>
      </c>
      <c r="N83" s="57">
        <f>COUNTIFS('Self-Assessment_Cases'!$E$4:$E$657,"PE-20",'Self-Assessment_Cases'!$I4:$I657,"Not Implemented - Risk Accepted")</f>
        <v>0</v>
      </c>
      <c r="O83" s="57">
        <f t="shared" si="27"/>
        <v>0</v>
      </c>
      <c r="P83" s="58">
        <f>COUNTIFS('Self-Assessment_Cases'!$E$4:$E$657,"PE-20",'Self-Assessment_Cases'!$I4:$I657,"Not Implemented - Planned")</f>
        <v>0</v>
      </c>
      <c r="Q83" s="58">
        <f t="shared" si="28"/>
        <v>0</v>
      </c>
      <c r="R83" s="59">
        <f>COUNTIFS('Self-Assessment_Cases'!$E$4:$E$657,"PE-20",'Self-Assessment_Cases'!$I4:$I657,"Not Implemented - Unplanned")</f>
        <v>0</v>
      </c>
      <c r="S83" s="59">
        <f t="shared" si="29"/>
        <v>0</v>
      </c>
      <c r="T83" s="60">
        <f>COUNTIFS('Self-Assessment_Cases'!$E$4:$E$657,"PE-20",'Self-Assessment_Cases'!$I4:$I657,"Not Applicable")</f>
        <v>0</v>
      </c>
      <c r="U83" s="61"/>
      <c r="V83" s="68" t="e">
        <f t="shared" si="30"/>
        <v>#DIV/0!</v>
      </c>
      <c r="W83" s="44">
        <f t="shared" si="31"/>
        <v>0</v>
      </c>
    </row>
    <row r="84" spans="1:23" x14ac:dyDescent="0.2">
      <c r="A84" s="45" t="s">
        <v>140</v>
      </c>
      <c r="B84" s="46">
        <f>COUNTIFS('Self-Assessment_Cases'!$E$4:$E$657,"PE-3",'Self-Assessment_Cases'!$I4:$I657,"Implemented")</f>
        <v>0</v>
      </c>
      <c r="C84" s="63">
        <f t="shared" si="21"/>
        <v>0</v>
      </c>
      <c r="D84" s="47">
        <f>COUNTIFS('Self-Assessment_Cases'!$E$4:$E$657,"PE-3",'Self-Assessment_Cases'!$I4:$I657,"In Progress - Administrative")</f>
        <v>0</v>
      </c>
      <c r="E84" s="64">
        <f t="shared" si="22"/>
        <v>0</v>
      </c>
      <c r="F84" s="62">
        <f>COUNTIFS('Self-Assessment_Cases'!$E$4:$E$657,"PE-3",'Self-Assessment_Cases'!$I4:$I657,"In Progress - Configuration")</f>
        <v>0</v>
      </c>
      <c r="G84" s="65">
        <f t="shared" si="23"/>
        <v>0</v>
      </c>
      <c r="H84" s="48">
        <f>COUNTIFS('Self-Assessment_Cases'!$E$4:$E$657,"PE-3",'Self-Assessment_Cases'!$I4:$I657,"In Progress - Installation/Upgrade")</f>
        <v>0</v>
      </c>
      <c r="I84" s="66">
        <f t="shared" si="24"/>
        <v>0</v>
      </c>
      <c r="J84" s="49">
        <f>COUNTIFS('Self-Assessment_Cases'!$E$4:$E$657,"PE-3",'Self-Assessment_Cases'!$I4:$I657,"Not Implemented - Compensating Control")</f>
        <v>0</v>
      </c>
      <c r="K84" s="67">
        <f t="shared" si="25"/>
        <v>0</v>
      </c>
      <c r="L84" s="50">
        <f>COUNTIFS('Self-Assessment_Cases'!$E$4:$E$657,"PE-3",'Self-Assessment_Cases'!$I4:$I657,"Not Implemented - Risk Negligible")</f>
        <v>0</v>
      </c>
      <c r="M84" s="56">
        <f t="shared" si="26"/>
        <v>0</v>
      </c>
      <c r="N84" s="57">
        <f>COUNTIFS('Self-Assessment_Cases'!$E$4:$E$657,"PE-3",'Self-Assessment_Cases'!$I4:$I657,"Not Implemented - Risk Accepted")</f>
        <v>0</v>
      </c>
      <c r="O84" s="57">
        <f t="shared" si="27"/>
        <v>0</v>
      </c>
      <c r="P84" s="58">
        <f>COUNTIFS('Self-Assessment_Cases'!$E$4:$E$657,"PE-3",'Self-Assessment_Cases'!$I4:$I657,"Not Implemented - Planned")</f>
        <v>0</v>
      </c>
      <c r="Q84" s="58">
        <f t="shared" si="28"/>
        <v>0</v>
      </c>
      <c r="R84" s="59">
        <f>COUNTIFS('Self-Assessment_Cases'!$E$4:$E$657,"PE-3",'Self-Assessment_Cases'!$I4:$I657,"Not Implemented - Unplanned")</f>
        <v>0</v>
      </c>
      <c r="S84" s="59">
        <f t="shared" si="29"/>
        <v>0</v>
      </c>
      <c r="T84" s="60">
        <f>COUNTIFS('Self-Assessment_Cases'!$E$4:$E$657,"PE-3",'Self-Assessment_Cases'!$I4:$I657,"Not Applicable")</f>
        <v>0</v>
      </c>
      <c r="U84" s="61"/>
      <c r="V84" s="68" t="e">
        <f t="shared" si="30"/>
        <v>#DIV/0!</v>
      </c>
      <c r="W84" s="44">
        <f t="shared" si="31"/>
        <v>0</v>
      </c>
    </row>
    <row r="85" spans="1:23" ht="15" customHeight="1" x14ac:dyDescent="0.2">
      <c r="A85" s="45" t="s">
        <v>142</v>
      </c>
      <c r="B85" s="46">
        <f>COUNTIFS('Self-Assessment_Cases'!$E$4:$E$657,"PE-5",'Self-Assessment_Cases'!$I4:$I657,"Implemented")</f>
        <v>0</v>
      </c>
      <c r="C85" s="63">
        <f t="shared" si="21"/>
        <v>0</v>
      </c>
      <c r="D85" s="47">
        <f>COUNTIFS('Self-Assessment_Cases'!$E$4:$E$657,"PE-5",'Self-Assessment_Cases'!$I4:$I657,"In Progress - Administrative")</f>
        <v>0</v>
      </c>
      <c r="E85" s="64">
        <f t="shared" si="22"/>
        <v>0</v>
      </c>
      <c r="F85" s="62">
        <f>COUNTIFS('Self-Assessment_Cases'!$E$4:$E$657,"PE-5",'Self-Assessment_Cases'!$I4:$I657,"In Progress - Configuration")</f>
        <v>0</v>
      </c>
      <c r="G85" s="65">
        <f t="shared" si="23"/>
        <v>0</v>
      </c>
      <c r="H85" s="48">
        <f>COUNTIFS('Self-Assessment_Cases'!$E$4:$E$657,"PE-5",'Self-Assessment_Cases'!$I4:$I657,"In Progress - Installation/Upgrade")</f>
        <v>0</v>
      </c>
      <c r="I85" s="66">
        <f t="shared" si="24"/>
        <v>0</v>
      </c>
      <c r="J85" s="49">
        <f>COUNTIFS('Self-Assessment_Cases'!$E$4:$E$657,"PE-5",'Self-Assessment_Cases'!$I4:$I657,"Not Implemented - Compensating Control")</f>
        <v>0</v>
      </c>
      <c r="K85" s="67">
        <f t="shared" si="25"/>
        <v>0</v>
      </c>
      <c r="L85" s="50">
        <f>COUNTIFS('Self-Assessment_Cases'!$E$4:$E$657,"PE-5",'Self-Assessment_Cases'!$I4:$I657,"Not Implemented - Risk Negligible")</f>
        <v>0</v>
      </c>
      <c r="M85" s="56">
        <f t="shared" si="26"/>
        <v>0</v>
      </c>
      <c r="N85" s="57">
        <f>COUNTIFS('Self-Assessment_Cases'!$E$4:$E$657,"PE-5",'Self-Assessment_Cases'!$I4:$I657,"Not Implemented - Risk Accepted")</f>
        <v>0</v>
      </c>
      <c r="O85" s="57">
        <f t="shared" si="27"/>
        <v>0</v>
      </c>
      <c r="P85" s="58">
        <f>COUNTIFS('Self-Assessment_Cases'!$E$4:$E$657,"PE-5",'Self-Assessment_Cases'!$I4:$I657,"Not Implemented - Planned")</f>
        <v>0</v>
      </c>
      <c r="Q85" s="58">
        <f t="shared" si="28"/>
        <v>0</v>
      </c>
      <c r="R85" s="59">
        <f>COUNTIFS('Self-Assessment_Cases'!$E$4:$E$657,"PE-5",'Self-Assessment_Cases'!$I4:$I657,"Not Implemented - Unplanned")</f>
        <v>0</v>
      </c>
      <c r="S85" s="59">
        <f t="shared" si="29"/>
        <v>0</v>
      </c>
      <c r="T85" s="60">
        <f>COUNTIFS('Self-Assessment_Cases'!$E$4:$E$657,"PE-5",'Self-Assessment_Cases'!$I4:$I657,"Not Applicable")</f>
        <v>0</v>
      </c>
      <c r="U85" s="61"/>
      <c r="V85" s="68" t="e">
        <f t="shared" si="30"/>
        <v>#DIV/0!</v>
      </c>
      <c r="W85" s="44">
        <f t="shared" si="31"/>
        <v>0</v>
      </c>
    </row>
    <row r="86" spans="1:23" x14ac:dyDescent="0.2">
      <c r="A86" s="45" t="s">
        <v>144</v>
      </c>
      <c r="B86" s="46">
        <f>COUNTIFS('Self-Assessment_Cases'!$E$4:$E$657,"PE-6",'Self-Assessment_Cases'!$I4:$I657,"Implemented")</f>
        <v>0</v>
      </c>
      <c r="C86" s="63">
        <f t="shared" si="21"/>
        <v>0</v>
      </c>
      <c r="D86" s="47">
        <f>COUNTIFS('Self-Assessment_Cases'!$E$4:$E$657,"PE-6",'Self-Assessment_Cases'!$I4:$I657,"In Progress - Administrative")</f>
        <v>0</v>
      </c>
      <c r="E86" s="64">
        <f t="shared" si="22"/>
        <v>0</v>
      </c>
      <c r="F86" s="62">
        <f>COUNTIFS('Self-Assessment_Cases'!$E$4:$E$657,"PE-6",'Self-Assessment_Cases'!$I4:$I657,"In Progress - Configuration")</f>
        <v>0</v>
      </c>
      <c r="G86" s="65">
        <f t="shared" si="23"/>
        <v>0</v>
      </c>
      <c r="H86" s="48">
        <f>COUNTIFS('Self-Assessment_Cases'!$E$4:$E$657,"PE-6",'Self-Assessment_Cases'!$I4:$I657,"In Progress - Installation/Upgrade")</f>
        <v>0</v>
      </c>
      <c r="I86" s="66">
        <f t="shared" si="24"/>
        <v>0</v>
      </c>
      <c r="J86" s="49">
        <f>COUNTIFS('Self-Assessment_Cases'!$E$4:$E$657,"PE-6",'Self-Assessment_Cases'!$I4:$I657,"Not Implemented - Compensating Control")</f>
        <v>0</v>
      </c>
      <c r="K86" s="67">
        <f t="shared" si="25"/>
        <v>0</v>
      </c>
      <c r="L86" s="50">
        <f>COUNTIFS('Self-Assessment_Cases'!$E$4:$E$657,"PE-6",'Self-Assessment_Cases'!$I4:$I657,"Not Implemented - Risk Negligible")</f>
        <v>0</v>
      </c>
      <c r="M86" s="56">
        <f t="shared" si="26"/>
        <v>0</v>
      </c>
      <c r="N86" s="57">
        <f>COUNTIFS('Self-Assessment_Cases'!$E$4:$E$657,"PE-6",'Self-Assessment_Cases'!$I4:$I657,"Not Implemented - Risk Accepted")</f>
        <v>0</v>
      </c>
      <c r="O86" s="57">
        <f t="shared" si="27"/>
        <v>0</v>
      </c>
      <c r="P86" s="58">
        <f>COUNTIFS('Self-Assessment_Cases'!$E$4:$E$657,"PE-6",'Self-Assessment_Cases'!$I4:$I657,"Not Implemented - Planned")</f>
        <v>0</v>
      </c>
      <c r="Q86" s="58">
        <f t="shared" si="28"/>
        <v>0</v>
      </c>
      <c r="R86" s="59">
        <f>COUNTIFS('Self-Assessment_Cases'!$E$4:$E$657,"PE-6",'Self-Assessment_Cases'!$I4:$I657,"Not Implemented - Unplanned")</f>
        <v>0</v>
      </c>
      <c r="S86" s="59">
        <f t="shared" si="29"/>
        <v>0</v>
      </c>
      <c r="T86" s="60">
        <f>COUNTIFS('Self-Assessment_Cases'!$E$4:$E$657,"PE-6",'Self-Assessment_Cases'!$I4:$I657,"Not Applicable")</f>
        <v>0</v>
      </c>
      <c r="U86" s="61"/>
      <c r="V86" s="68" t="e">
        <f t="shared" si="30"/>
        <v>#DIV/0!</v>
      </c>
      <c r="W86" s="44">
        <f t="shared" si="31"/>
        <v>0</v>
      </c>
    </row>
    <row r="87" spans="1:23" x14ac:dyDescent="0.2">
      <c r="A87" s="45" t="s">
        <v>148</v>
      </c>
      <c r="B87" s="46">
        <f>COUNTIFS('Self-Assessment_Cases'!$E$4:$E$657,"PL-1",'Self-Assessment_Cases'!$I4:$I657,"Implemented")</f>
        <v>0</v>
      </c>
      <c r="C87" s="63">
        <f t="shared" si="21"/>
        <v>0</v>
      </c>
      <c r="D87" s="47">
        <f>COUNTIFS('Self-Assessment_Cases'!$E$4:$E$657,"PL-1",'Self-Assessment_Cases'!$I4:$I657,"In Progress - Administrative")</f>
        <v>0</v>
      </c>
      <c r="E87" s="64">
        <f t="shared" si="22"/>
        <v>0</v>
      </c>
      <c r="F87" s="62">
        <f>COUNTIFS('Self-Assessment_Cases'!$E$4:$E$657,"PL-1",'Self-Assessment_Cases'!$I4:$I657,"In Progress - Configuration")</f>
        <v>0</v>
      </c>
      <c r="G87" s="65">
        <f t="shared" si="23"/>
        <v>0</v>
      </c>
      <c r="H87" s="48">
        <f>COUNTIFS('Self-Assessment_Cases'!$E$4:$E$657,"PL-1",'Self-Assessment_Cases'!$I4:$I657,"In Progress - Installation/Upgrade")</f>
        <v>0</v>
      </c>
      <c r="I87" s="66">
        <f t="shared" si="24"/>
        <v>0</v>
      </c>
      <c r="J87" s="49">
        <f>COUNTIFS('Self-Assessment_Cases'!$E$4:$E$657,"PL-1",'Self-Assessment_Cases'!$I4:$I657,"Not Implemented - Compensating Control")</f>
        <v>0</v>
      </c>
      <c r="K87" s="67">
        <f t="shared" si="25"/>
        <v>0</v>
      </c>
      <c r="L87" s="50">
        <f>COUNTIFS('Self-Assessment_Cases'!$E$4:$E$657,"PL-1",'Self-Assessment_Cases'!$I4:$I657,"Not Implemented - Risk Negligible")</f>
        <v>0</v>
      </c>
      <c r="M87" s="56">
        <f t="shared" si="26"/>
        <v>0</v>
      </c>
      <c r="N87" s="57">
        <f>COUNTIFS('Self-Assessment_Cases'!$E$4:$E$657,"PL-1",'Self-Assessment_Cases'!$I4:$I657,"Not Implemented - Risk Accepted")</f>
        <v>0</v>
      </c>
      <c r="O87" s="57">
        <f t="shared" si="27"/>
        <v>0</v>
      </c>
      <c r="P87" s="58">
        <f>COUNTIFS('Self-Assessment_Cases'!$E$4:$E$657,"PL-1",'Self-Assessment_Cases'!$I4:$I657,"Not Implemented - Planned")</f>
        <v>0</v>
      </c>
      <c r="Q87" s="58">
        <f t="shared" si="28"/>
        <v>0</v>
      </c>
      <c r="R87" s="59">
        <f>COUNTIFS('Self-Assessment_Cases'!$E$4:$E$657,"PL-1",'Self-Assessment_Cases'!$I4:$I657,"Not Implemented - Unplanned")</f>
        <v>0</v>
      </c>
      <c r="S87" s="59">
        <f t="shared" si="29"/>
        <v>0</v>
      </c>
      <c r="T87" s="60">
        <f>COUNTIFS('Self-Assessment_Cases'!$E$4:$E$657,"PL-1",'Self-Assessment_Cases'!$I4:$I657,"Not Applicable")</f>
        <v>0</v>
      </c>
      <c r="U87" s="61"/>
      <c r="V87" s="68" t="e">
        <f t="shared" si="30"/>
        <v>#DIV/0!</v>
      </c>
      <c r="W87" s="44">
        <f t="shared" si="31"/>
        <v>0</v>
      </c>
    </row>
    <row r="88" spans="1:23" x14ac:dyDescent="0.2">
      <c r="A88" s="45" t="s">
        <v>150</v>
      </c>
      <c r="B88" s="46">
        <f>COUNTIFS('Self-Assessment_Cases'!$E$4:$E$657,"PL-2",'Self-Assessment_Cases'!$I4:$I657,"Implemented")</f>
        <v>0</v>
      </c>
      <c r="C88" s="63">
        <f t="shared" si="21"/>
        <v>0</v>
      </c>
      <c r="D88" s="47">
        <f>COUNTIFS('Self-Assessment_Cases'!$E$4:$E$657,"PL-2",'Self-Assessment_Cases'!$I4:$I657,"In Progress - Administrative")</f>
        <v>0</v>
      </c>
      <c r="E88" s="64">
        <f t="shared" si="22"/>
        <v>0</v>
      </c>
      <c r="F88" s="62">
        <f>COUNTIFS('Self-Assessment_Cases'!$E$4:$E$657,"PL-2",'Self-Assessment_Cases'!$I4:$I657,"In Progress - Configuration")</f>
        <v>0</v>
      </c>
      <c r="G88" s="65">
        <f t="shared" si="23"/>
        <v>0</v>
      </c>
      <c r="H88" s="48">
        <f>COUNTIFS('Self-Assessment_Cases'!$E$4:$E$657,"PL-2",'Self-Assessment_Cases'!$I4:$I657,"In Progress - Installation/Upgrade")</f>
        <v>0</v>
      </c>
      <c r="I88" s="66">
        <f t="shared" si="24"/>
        <v>0</v>
      </c>
      <c r="J88" s="49">
        <f>COUNTIFS('Self-Assessment_Cases'!$E$4:$E$657,"PL-2",'Self-Assessment_Cases'!$I4:$I657,"Not Implemented - Compensating Control")</f>
        <v>0</v>
      </c>
      <c r="K88" s="67">
        <f t="shared" si="25"/>
        <v>0</v>
      </c>
      <c r="L88" s="50">
        <f>COUNTIFS('Self-Assessment_Cases'!$E$4:$E$657,"PL-2",'Self-Assessment_Cases'!$I4:$I657,"Not Implemented - Risk Negligible")</f>
        <v>0</v>
      </c>
      <c r="M88" s="56">
        <f t="shared" si="26"/>
        <v>0</v>
      </c>
      <c r="N88" s="57">
        <f>COUNTIFS('Self-Assessment_Cases'!$E$4:$E$657,"PL-2",'Self-Assessment_Cases'!$I4:$I657,"Not Implemented - Risk Accepted")</f>
        <v>0</v>
      </c>
      <c r="O88" s="57">
        <f t="shared" si="27"/>
        <v>0</v>
      </c>
      <c r="P88" s="58">
        <f>COUNTIFS('Self-Assessment_Cases'!$E$4:$E$657,"PL-2",'Self-Assessment_Cases'!$I4:$I657,"Not Implemented - Planned")</f>
        <v>0</v>
      </c>
      <c r="Q88" s="58">
        <f t="shared" si="28"/>
        <v>0</v>
      </c>
      <c r="R88" s="59">
        <f>COUNTIFS('Self-Assessment_Cases'!$E$4:$E$657,"PL-2",'Self-Assessment_Cases'!$I4:$I657,"Not Implemented - Unplanned")</f>
        <v>0</v>
      </c>
      <c r="S88" s="59">
        <f t="shared" si="29"/>
        <v>0</v>
      </c>
      <c r="T88" s="60">
        <f>COUNTIFS('Self-Assessment_Cases'!$E$4:$E$657,"PL-2",'Self-Assessment_Cases'!$I4:$I657,"Not Applicable")</f>
        <v>0</v>
      </c>
      <c r="U88" s="61"/>
      <c r="V88" s="68" t="e">
        <f t="shared" si="30"/>
        <v>#DIV/0!</v>
      </c>
      <c r="W88" s="44">
        <f t="shared" si="31"/>
        <v>0</v>
      </c>
    </row>
    <row r="89" spans="1:23" x14ac:dyDescent="0.2">
      <c r="A89" s="45" t="s">
        <v>750</v>
      </c>
      <c r="B89" s="46">
        <f>COUNTIFS('Self-Assessment_Cases'!$E$4:$E$657,"PL-4",'Self-Assessment_Cases'!$I4:$I657,"Implemented")</f>
        <v>0</v>
      </c>
      <c r="C89" s="63">
        <f t="shared" si="21"/>
        <v>0</v>
      </c>
      <c r="D89" s="47">
        <f>COUNTIFS('Self-Assessment_Cases'!$E$4:$E$657,"PL-4",'Self-Assessment_Cases'!$I4:$I657,"In Progress - Administrative")</f>
        <v>0</v>
      </c>
      <c r="E89" s="64">
        <f t="shared" si="22"/>
        <v>0</v>
      </c>
      <c r="F89" s="62">
        <f>COUNTIFS('Self-Assessment_Cases'!$E$4:$E$657,"PL-4",'Self-Assessment_Cases'!$I4:$I657,"In Progress - Configuration")</f>
        <v>0</v>
      </c>
      <c r="G89" s="65">
        <f t="shared" si="23"/>
        <v>0</v>
      </c>
      <c r="H89" s="48">
        <f>COUNTIFS('Self-Assessment_Cases'!$E$4:$E$657,"PL-4",'Self-Assessment_Cases'!$I4:$I657,"In Progress - Installation/Upgrade")</f>
        <v>0</v>
      </c>
      <c r="I89" s="66">
        <f t="shared" si="24"/>
        <v>0</v>
      </c>
      <c r="J89" s="49">
        <f>COUNTIFS('Self-Assessment_Cases'!$E$4:$E$657,"PL-4",'Self-Assessment_Cases'!$I4:$I657,"Not Implemented - Compensating Control")</f>
        <v>0</v>
      </c>
      <c r="K89" s="67">
        <f t="shared" si="25"/>
        <v>0</v>
      </c>
      <c r="L89" s="50">
        <f>COUNTIFS('Self-Assessment_Cases'!$E$4:$E$657,"PL-4",'Self-Assessment_Cases'!$I4:$I657,"Not Implemented - Risk Negligible")</f>
        <v>0</v>
      </c>
      <c r="M89" s="56">
        <f t="shared" si="26"/>
        <v>0</v>
      </c>
      <c r="N89" s="57">
        <f>COUNTIFS('Self-Assessment_Cases'!$E$4:$E$657,"PL-4",'Self-Assessment_Cases'!$I4:$I657,"Not Implemented - Risk Accepted")</f>
        <v>0</v>
      </c>
      <c r="O89" s="57">
        <f t="shared" si="27"/>
        <v>0</v>
      </c>
      <c r="P89" s="58">
        <f>COUNTIFS('Self-Assessment_Cases'!$E$4:$E$657,"PL-4",'Self-Assessment_Cases'!$I4:$I657,"Not Implemented - Planned")</f>
        <v>0</v>
      </c>
      <c r="Q89" s="58">
        <f t="shared" si="28"/>
        <v>0</v>
      </c>
      <c r="R89" s="59">
        <f>COUNTIFS('Self-Assessment_Cases'!$E$4:$E$657,"PL-4",'Self-Assessment_Cases'!$I4:$I657,"Not Implemented - Unplanned")</f>
        <v>0</v>
      </c>
      <c r="S89" s="59">
        <f t="shared" si="29"/>
        <v>0</v>
      </c>
      <c r="T89" s="60">
        <f>COUNTIFS('Self-Assessment_Cases'!$E$4:$E$657,"PL-4",'Self-Assessment_Cases'!$I4:$I657,"Not Applicable")</f>
        <v>0</v>
      </c>
      <c r="U89" s="61"/>
      <c r="V89" s="68" t="e">
        <f t="shared" si="30"/>
        <v>#DIV/0!</v>
      </c>
      <c r="W89" s="44">
        <f t="shared" si="31"/>
        <v>0</v>
      </c>
    </row>
    <row r="90" spans="1:23" ht="15" customHeight="1" x14ac:dyDescent="0.2">
      <c r="A90" s="45" t="s">
        <v>153</v>
      </c>
      <c r="B90" s="46">
        <f>COUNTIFS('Self-Assessment_Cases'!$E$4:$E$657,"PL-8",'Self-Assessment_Cases'!$I4:$I657,"Implemented")</f>
        <v>0</v>
      </c>
      <c r="C90" s="63">
        <f t="shared" si="21"/>
        <v>0</v>
      </c>
      <c r="D90" s="47">
        <f>COUNTIFS('Self-Assessment_Cases'!$E$4:$E$657,"PL-8",'Self-Assessment_Cases'!$I4:$I657,"In Progress - Administrative")</f>
        <v>0</v>
      </c>
      <c r="E90" s="64">
        <f t="shared" si="22"/>
        <v>0</v>
      </c>
      <c r="F90" s="62">
        <f>COUNTIFS('Self-Assessment_Cases'!$E$4:$E$657,"PL-8",'Self-Assessment_Cases'!$I4:$I657,"In Progress - Configuration")</f>
        <v>0</v>
      </c>
      <c r="G90" s="65">
        <f t="shared" si="23"/>
        <v>0</v>
      </c>
      <c r="H90" s="48">
        <f>COUNTIFS('Self-Assessment_Cases'!$E$4:$E$657,"PL-8",'Self-Assessment_Cases'!$I4:$I657,"In Progress - Installation/Upgrade")</f>
        <v>0</v>
      </c>
      <c r="I90" s="66">
        <f t="shared" si="24"/>
        <v>0</v>
      </c>
      <c r="J90" s="49">
        <f>COUNTIFS('Self-Assessment_Cases'!$E$4:$E$657,"PL-8",'Self-Assessment_Cases'!$I4:$I657,"Not Implemented - Compensating Control")</f>
        <v>0</v>
      </c>
      <c r="K90" s="67">
        <f t="shared" si="25"/>
        <v>0</v>
      </c>
      <c r="L90" s="50">
        <f>COUNTIFS('Self-Assessment_Cases'!$E$4:$E$657,"PL-8",'Self-Assessment_Cases'!$I4:$I657,"Not Implemented - Risk Negligible")</f>
        <v>0</v>
      </c>
      <c r="M90" s="56">
        <f t="shared" si="26"/>
        <v>0</v>
      </c>
      <c r="N90" s="57">
        <f>COUNTIFS('Self-Assessment_Cases'!$E$4:$E$657,"PL-8",'Self-Assessment_Cases'!$I4:$I657,"Not Implemented - Risk Accepted")</f>
        <v>0</v>
      </c>
      <c r="O90" s="57">
        <f t="shared" si="27"/>
        <v>0</v>
      </c>
      <c r="P90" s="58">
        <f>COUNTIFS('Self-Assessment_Cases'!$E$4:$E$657,"PL-8",'Self-Assessment_Cases'!$I4:$I657,"Not Implemented - Planned")</f>
        <v>0</v>
      </c>
      <c r="Q90" s="58">
        <f t="shared" si="28"/>
        <v>0</v>
      </c>
      <c r="R90" s="59">
        <f>COUNTIFS('Self-Assessment_Cases'!$E$4:$E$657,"PL-8",'Self-Assessment_Cases'!$I4:$I657,"Not Implemented - Unplanned")</f>
        <v>0</v>
      </c>
      <c r="S90" s="59">
        <f t="shared" si="29"/>
        <v>0</v>
      </c>
      <c r="T90" s="60">
        <f>COUNTIFS('Self-Assessment_Cases'!$E$4:$E$657,"PL-8",'Self-Assessment_Cases'!$I4:$I657,"Not Applicable")</f>
        <v>0</v>
      </c>
      <c r="U90" s="61"/>
      <c r="V90" s="68" t="e">
        <f t="shared" si="30"/>
        <v>#DIV/0!</v>
      </c>
      <c r="W90" s="44">
        <f t="shared" si="31"/>
        <v>0</v>
      </c>
    </row>
    <row r="91" spans="1:23" ht="15" customHeight="1" x14ac:dyDescent="0.2">
      <c r="A91" s="45" t="s">
        <v>234</v>
      </c>
      <c r="B91" s="46">
        <f>COUNTIFS('Self-Assessment_Cases'!$E$4:$E$657,"PM-1",'Self-Assessment_Cases'!$I4:$I657,"Implemented")</f>
        <v>0</v>
      </c>
      <c r="C91" s="63">
        <f t="shared" si="21"/>
        <v>0</v>
      </c>
      <c r="D91" s="47">
        <f>COUNTIFS('Self-Assessment_Cases'!$E$4:$E$657,"PM-1",'Self-Assessment_Cases'!$I4:$I657,"In Progress - Administrative")</f>
        <v>0</v>
      </c>
      <c r="E91" s="64">
        <f t="shared" si="22"/>
        <v>0</v>
      </c>
      <c r="F91" s="62">
        <f>COUNTIFS('Self-Assessment_Cases'!$E$4:$E$657,"PM-1",'Self-Assessment_Cases'!$I4:$I657,"In Progress - Configuration")</f>
        <v>0</v>
      </c>
      <c r="G91" s="65">
        <f t="shared" si="23"/>
        <v>0</v>
      </c>
      <c r="H91" s="48">
        <f>COUNTIFS('Self-Assessment_Cases'!$E$4:$E$657,"PM-1",'Self-Assessment_Cases'!$I4:$I657,"In Progress - Installation/Upgrade")</f>
        <v>0</v>
      </c>
      <c r="I91" s="66">
        <f t="shared" si="24"/>
        <v>0</v>
      </c>
      <c r="J91" s="49">
        <f>COUNTIFS('Self-Assessment_Cases'!$E$4:$E$657,"PM-1",'Self-Assessment_Cases'!$I4:$I657,"Not Implemented - Compensating Control")</f>
        <v>0</v>
      </c>
      <c r="K91" s="67">
        <f t="shared" si="25"/>
        <v>0</v>
      </c>
      <c r="L91" s="50">
        <f>COUNTIFS('Self-Assessment_Cases'!$E$4:$E$657,"PM-1",'Self-Assessment_Cases'!$I4:$I657,"Not Implemented - Risk Negligible")</f>
        <v>0</v>
      </c>
      <c r="M91" s="56">
        <f t="shared" si="26"/>
        <v>0</v>
      </c>
      <c r="N91" s="57">
        <f>COUNTIFS('Self-Assessment_Cases'!$E$4:$E$657,"PM-1",'Self-Assessment_Cases'!$I4:$I657,"Not Implemented - Risk Accepted")</f>
        <v>0</v>
      </c>
      <c r="O91" s="57">
        <f t="shared" si="27"/>
        <v>0</v>
      </c>
      <c r="P91" s="58">
        <f>COUNTIFS('Self-Assessment_Cases'!$E$4:$E$657,"PM-1",'Self-Assessment_Cases'!$I4:$I657,"Not Implemented - Planned")</f>
        <v>0</v>
      </c>
      <c r="Q91" s="58">
        <f t="shared" si="28"/>
        <v>0</v>
      </c>
      <c r="R91" s="59">
        <f>COUNTIFS('Self-Assessment_Cases'!$E$4:$E$657,"PM-1",'Self-Assessment_Cases'!$I4:$I657,"Not Implemented - Unplanned")</f>
        <v>0</v>
      </c>
      <c r="S91" s="59">
        <f t="shared" si="29"/>
        <v>0</v>
      </c>
      <c r="T91" s="60">
        <f>COUNTIFS('Self-Assessment_Cases'!$E$4:$E$657,"PM-1",'Self-Assessment_Cases'!$I4:$I657,"Not Applicable")</f>
        <v>0</v>
      </c>
      <c r="U91" s="61"/>
      <c r="V91" s="68" t="e">
        <f t="shared" si="30"/>
        <v>#DIV/0!</v>
      </c>
      <c r="W91" s="44">
        <f t="shared" si="31"/>
        <v>0</v>
      </c>
    </row>
    <row r="92" spans="1:23" ht="15" customHeight="1" x14ac:dyDescent="0.2">
      <c r="A92" s="45" t="s">
        <v>239</v>
      </c>
      <c r="B92" s="46">
        <f>COUNTIFS('Self-Assessment_Cases'!$E$4:$E$657,"PM-11",'Self-Assessment_Cases'!$I4:$I657,"Implemented")</f>
        <v>0</v>
      </c>
      <c r="C92" s="63">
        <f t="shared" si="21"/>
        <v>0</v>
      </c>
      <c r="D92" s="47">
        <f>COUNTIFS('Self-Assessment_Cases'!$E$4:$E$657,"PM-11",'Self-Assessment_Cases'!$I4:$I657,"In Progress - Administrative")</f>
        <v>0</v>
      </c>
      <c r="E92" s="64">
        <f t="shared" si="22"/>
        <v>0</v>
      </c>
      <c r="F92" s="62">
        <f>COUNTIFS('Self-Assessment_Cases'!$E$4:$E$657,"PM-11",'Self-Assessment_Cases'!$I4:$I657,"In Progress - Configuration")</f>
        <v>0</v>
      </c>
      <c r="G92" s="65">
        <f t="shared" si="23"/>
        <v>0</v>
      </c>
      <c r="H92" s="48">
        <f>COUNTIFS('Self-Assessment_Cases'!$E$4:$E$657,"PM-11",'Self-Assessment_Cases'!$I4:$I657,"In Progress - Installation/Upgrade")</f>
        <v>0</v>
      </c>
      <c r="I92" s="66">
        <f t="shared" si="24"/>
        <v>0</v>
      </c>
      <c r="J92" s="49">
        <f>COUNTIFS('Self-Assessment_Cases'!$E$4:$E$657,"PM-11",'Self-Assessment_Cases'!$I4:$I657,"Not Implemented - Compensating Control")</f>
        <v>0</v>
      </c>
      <c r="K92" s="67">
        <f t="shared" si="25"/>
        <v>0</v>
      </c>
      <c r="L92" s="50">
        <f>COUNTIFS('Self-Assessment_Cases'!$E$4:$E$657,"PM-11",'Self-Assessment_Cases'!$I4:$I657,"Not Implemented - Risk Negligible")</f>
        <v>0</v>
      </c>
      <c r="M92" s="56">
        <f t="shared" si="26"/>
        <v>0</v>
      </c>
      <c r="N92" s="57">
        <f>COUNTIFS('Self-Assessment_Cases'!$E$4:$E$657,"PM-11",'Self-Assessment_Cases'!$I4:$I657,"Not Implemented - Risk Accepted")</f>
        <v>0</v>
      </c>
      <c r="O92" s="57">
        <f t="shared" si="27"/>
        <v>0</v>
      </c>
      <c r="P92" s="58">
        <f>COUNTIFS('Self-Assessment_Cases'!$E$4:$E$657,"PM-11",'Self-Assessment_Cases'!$I4:$I657,"Not Implemented - Planned")</f>
        <v>0</v>
      </c>
      <c r="Q92" s="58">
        <f t="shared" si="28"/>
        <v>0</v>
      </c>
      <c r="R92" s="59">
        <f>COUNTIFS('Self-Assessment_Cases'!$E$4:$E$657,"PM-11",'Self-Assessment_Cases'!$I4:$I657,"Not Implemented - Unplanned")</f>
        <v>0</v>
      </c>
      <c r="S92" s="59">
        <f t="shared" si="29"/>
        <v>0</v>
      </c>
      <c r="T92" s="60">
        <f>COUNTIFS('Self-Assessment_Cases'!$E$4:$E$657,"PM-11",'Self-Assessment_Cases'!$I4:$I657,"Not Applicable")</f>
        <v>0</v>
      </c>
      <c r="U92" s="61"/>
      <c r="V92" s="68" t="e">
        <f t="shared" si="30"/>
        <v>#DIV/0!</v>
      </c>
      <c r="W92" s="44">
        <f t="shared" si="31"/>
        <v>0</v>
      </c>
    </row>
    <row r="93" spans="1:23" ht="15" customHeight="1" x14ac:dyDescent="0.2">
      <c r="A93" s="45" t="s">
        <v>240</v>
      </c>
      <c r="B93" s="46">
        <f>COUNTIFS('Self-Assessment_Cases'!$E$4:$E$657,"PM-12",'Self-Assessment_Cases'!$I4:$I657,"Implemented")</f>
        <v>0</v>
      </c>
      <c r="C93" s="63">
        <f t="shared" si="21"/>
        <v>0</v>
      </c>
      <c r="D93" s="47">
        <f>COUNTIFS('Self-Assessment_Cases'!$E$4:$E$657,"PM-12",'Self-Assessment_Cases'!$I4:$I657,"In Progress - Administrative")</f>
        <v>0</v>
      </c>
      <c r="E93" s="64">
        <f t="shared" si="22"/>
        <v>0</v>
      </c>
      <c r="F93" s="62">
        <f>COUNTIFS('Self-Assessment_Cases'!$E$4:$E$657,"PM-12",'Self-Assessment_Cases'!$I4:$I657,"In Progress - Configuration")</f>
        <v>0</v>
      </c>
      <c r="G93" s="65">
        <f t="shared" si="23"/>
        <v>0</v>
      </c>
      <c r="H93" s="48">
        <f>COUNTIFS('Self-Assessment_Cases'!$E$4:$E$657,"PM-12",'Self-Assessment_Cases'!$I4:$I657,"In Progress - Installation/Upgrade")</f>
        <v>0</v>
      </c>
      <c r="I93" s="66">
        <f t="shared" si="24"/>
        <v>0</v>
      </c>
      <c r="J93" s="49">
        <f>COUNTIFS('Self-Assessment_Cases'!$E$4:$E$657,"PM-12",'Self-Assessment_Cases'!$I4:$I657,"Not Implemented - Compensating Control")</f>
        <v>0</v>
      </c>
      <c r="K93" s="67">
        <f t="shared" si="25"/>
        <v>0</v>
      </c>
      <c r="L93" s="50">
        <f>COUNTIFS('Self-Assessment_Cases'!$E$4:$E$657,"PM-12",'Self-Assessment_Cases'!$I4:$I657,"Not Implemented - Risk Negligible")</f>
        <v>0</v>
      </c>
      <c r="M93" s="56">
        <f t="shared" si="26"/>
        <v>0</v>
      </c>
      <c r="N93" s="57">
        <f>COUNTIFS('Self-Assessment_Cases'!$E$4:$E$657,"PM-12",'Self-Assessment_Cases'!$I4:$I657,"Not Implemented - Risk Accepted")</f>
        <v>0</v>
      </c>
      <c r="O93" s="57">
        <f t="shared" si="27"/>
        <v>0</v>
      </c>
      <c r="P93" s="58">
        <f>COUNTIFS('Self-Assessment_Cases'!$E$4:$E$657,"PM-12",'Self-Assessment_Cases'!$I4:$I657,"Not Implemented - Planned")</f>
        <v>0</v>
      </c>
      <c r="Q93" s="58">
        <f t="shared" si="28"/>
        <v>0</v>
      </c>
      <c r="R93" s="59">
        <f>COUNTIFS('Self-Assessment_Cases'!$E$4:$E$657,"PM-12",'Self-Assessment_Cases'!$I4:$I657,"Not Implemented - Unplanned")</f>
        <v>0</v>
      </c>
      <c r="S93" s="59">
        <f t="shared" si="29"/>
        <v>0</v>
      </c>
      <c r="T93" s="60">
        <f>COUNTIFS('Self-Assessment_Cases'!$E$4:$E$657,"PM-12",'Self-Assessment_Cases'!$I4:$I657,"Not Applicable")</f>
        <v>0</v>
      </c>
      <c r="U93" s="61"/>
      <c r="V93" s="68" t="e">
        <f t="shared" si="30"/>
        <v>#DIV/0!</v>
      </c>
      <c r="W93" s="44">
        <f t="shared" si="31"/>
        <v>0</v>
      </c>
    </row>
    <row r="94" spans="1:23" ht="15" customHeight="1" x14ac:dyDescent="0.2">
      <c r="A94" s="45" t="s">
        <v>241</v>
      </c>
      <c r="B94" s="46">
        <f>COUNTIFS('Self-Assessment_Cases'!$E$4:$E$657,"PM-13",'Self-Assessment_Cases'!$I4:$I657,"Implemented")</f>
        <v>0</v>
      </c>
      <c r="C94" s="63">
        <f t="shared" si="21"/>
        <v>0</v>
      </c>
      <c r="D94" s="47">
        <f>COUNTIFS('Self-Assessment_Cases'!$E$4:$E$657,"PM-13",'Self-Assessment_Cases'!$I4:$I657,"In Progress - Administrative")</f>
        <v>0</v>
      </c>
      <c r="E94" s="64">
        <f t="shared" si="22"/>
        <v>0</v>
      </c>
      <c r="F94" s="62">
        <f>COUNTIFS('Self-Assessment_Cases'!$E$4:$E$657,"PM-13",'Self-Assessment_Cases'!$I4:$I657,"In Progress - Configuration")</f>
        <v>0</v>
      </c>
      <c r="G94" s="65">
        <f t="shared" si="23"/>
        <v>0</v>
      </c>
      <c r="H94" s="48">
        <f>COUNTIFS('Self-Assessment_Cases'!$E$4:$E$657,"PM-13",'Self-Assessment_Cases'!$I4:$I657,"In Progress - Installation/Upgrade")</f>
        <v>0</v>
      </c>
      <c r="I94" s="66">
        <f t="shared" si="24"/>
        <v>0</v>
      </c>
      <c r="J94" s="49">
        <f>COUNTIFS('Self-Assessment_Cases'!$E$4:$E$657,"PM-13",'Self-Assessment_Cases'!$I4:$I657,"Not Implemented - Compensating Control")</f>
        <v>0</v>
      </c>
      <c r="K94" s="67">
        <f t="shared" si="25"/>
        <v>0</v>
      </c>
      <c r="L94" s="50">
        <f>COUNTIFS('Self-Assessment_Cases'!$E$4:$E$657,"PM-13",'Self-Assessment_Cases'!$I4:$I657,"Not Implemented - Risk Negligible")</f>
        <v>0</v>
      </c>
      <c r="M94" s="56">
        <f t="shared" si="26"/>
        <v>0</v>
      </c>
      <c r="N94" s="57">
        <f>COUNTIFS('Self-Assessment_Cases'!$E$4:$E$657,"PM-13",'Self-Assessment_Cases'!$I4:$I657,"Not Implemented - Risk Accepted")</f>
        <v>0</v>
      </c>
      <c r="O94" s="57">
        <f t="shared" si="27"/>
        <v>0</v>
      </c>
      <c r="P94" s="58">
        <f>COUNTIFS('Self-Assessment_Cases'!$E$4:$E$657,"PM-13",'Self-Assessment_Cases'!$I4:$I657,"Not Implemented - Planned")</f>
        <v>0</v>
      </c>
      <c r="Q94" s="58">
        <f t="shared" si="28"/>
        <v>0</v>
      </c>
      <c r="R94" s="59">
        <f>COUNTIFS('Self-Assessment_Cases'!$E$4:$E$657,"PM-13",'Self-Assessment_Cases'!$I4:$I657,"Not Implemented - Unplanned")</f>
        <v>0</v>
      </c>
      <c r="S94" s="59">
        <f t="shared" si="29"/>
        <v>0</v>
      </c>
      <c r="T94" s="60">
        <f>COUNTIFS('Self-Assessment_Cases'!$E$4:$E$657,"PM-13",'Self-Assessment_Cases'!$I4:$I657,"Not Applicable")</f>
        <v>0</v>
      </c>
      <c r="U94" s="61"/>
      <c r="V94" s="68" t="e">
        <f t="shared" si="30"/>
        <v>#DIV/0!</v>
      </c>
      <c r="W94" s="44">
        <f t="shared" si="31"/>
        <v>0</v>
      </c>
    </row>
    <row r="95" spans="1:23" ht="15" customHeight="1" x14ac:dyDescent="0.2">
      <c r="A95" s="45" t="s">
        <v>242</v>
      </c>
      <c r="B95" s="46">
        <f>COUNTIFS('Self-Assessment_Cases'!$E$4:$E$657,"PM-14",'Self-Assessment_Cases'!$I4:$I657,"Implemented")</f>
        <v>0</v>
      </c>
      <c r="C95" s="63">
        <f t="shared" si="21"/>
        <v>0</v>
      </c>
      <c r="D95" s="47">
        <f>COUNTIFS('Self-Assessment_Cases'!$E$4:$E$657,"PM-14",'Self-Assessment_Cases'!$I4:$I657,"In Progress - Administrative")</f>
        <v>0</v>
      </c>
      <c r="E95" s="64">
        <f t="shared" si="22"/>
        <v>0</v>
      </c>
      <c r="F95" s="62">
        <f>COUNTIFS('Self-Assessment_Cases'!$E$4:$E$657,"PM-14",'Self-Assessment_Cases'!$I4:$I657,"In Progress - Configuration")</f>
        <v>0</v>
      </c>
      <c r="G95" s="65">
        <f t="shared" si="23"/>
        <v>0</v>
      </c>
      <c r="H95" s="48">
        <f>COUNTIFS('Self-Assessment_Cases'!$E$4:$E$657,"PM-14",'Self-Assessment_Cases'!$I4:$I657,"In Progress - Installation/Upgrade")</f>
        <v>0</v>
      </c>
      <c r="I95" s="66">
        <f t="shared" si="24"/>
        <v>0</v>
      </c>
      <c r="J95" s="49">
        <f>COUNTIFS('Self-Assessment_Cases'!$E$4:$E$657,"PM-14",'Self-Assessment_Cases'!$I4:$I657,"Not Implemented - Compensating Control")</f>
        <v>0</v>
      </c>
      <c r="K95" s="67">
        <f t="shared" si="25"/>
        <v>0</v>
      </c>
      <c r="L95" s="50">
        <f>COUNTIFS('Self-Assessment_Cases'!$E$4:$E$657,"PM-14",'Self-Assessment_Cases'!$I4:$I657,"Not Implemented - Risk Negligible")</f>
        <v>0</v>
      </c>
      <c r="M95" s="56">
        <f t="shared" si="26"/>
        <v>0</v>
      </c>
      <c r="N95" s="57">
        <f>COUNTIFS('Self-Assessment_Cases'!$E$4:$E$657,"PM-14",'Self-Assessment_Cases'!$I4:$I657,"Not Implemented - Risk Accepted")</f>
        <v>0</v>
      </c>
      <c r="O95" s="57">
        <f t="shared" si="27"/>
        <v>0</v>
      </c>
      <c r="P95" s="58">
        <f>COUNTIFS('Self-Assessment_Cases'!$E$4:$E$657,"PM-14",'Self-Assessment_Cases'!$I4:$I657,"Not Implemented - Planned")</f>
        <v>0</v>
      </c>
      <c r="Q95" s="58">
        <f t="shared" si="28"/>
        <v>0</v>
      </c>
      <c r="R95" s="59">
        <f>COUNTIFS('Self-Assessment_Cases'!$E$4:$E$657,"PM-14",'Self-Assessment_Cases'!$I4:$I657,"Not Implemented - Unplanned")</f>
        <v>0</v>
      </c>
      <c r="S95" s="59">
        <f t="shared" si="29"/>
        <v>0</v>
      </c>
      <c r="T95" s="60">
        <f>COUNTIFS('Self-Assessment_Cases'!$E$4:$E$657,"PM-14",'Self-Assessment_Cases'!$I4:$I657,"Not Applicable")</f>
        <v>0</v>
      </c>
      <c r="U95" s="61"/>
      <c r="V95" s="68" t="e">
        <f t="shared" si="30"/>
        <v>#DIV/0!</v>
      </c>
      <c r="W95" s="44">
        <f t="shared" si="31"/>
        <v>0</v>
      </c>
    </row>
    <row r="96" spans="1:23" ht="15" customHeight="1" x14ac:dyDescent="0.2">
      <c r="A96" s="45" t="s">
        <v>243</v>
      </c>
      <c r="B96" s="46">
        <f>COUNTIFS('Self-Assessment_Cases'!$E$4:$E$657,"PM-15",'Self-Assessment_Cases'!$I4:$I657,"Implemented")</f>
        <v>0</v>
      </c>
      <c r="C96" s="63">
        <f t="shared" si="21"/>
        <v>0</v>
      </c>
      <c r="D96" s="47">
        <f>COUNTIFS('Self-Assessment_Cases'!$E$4:$E$657,"PM-15",'Self-Assessment_Cases'!$I4:$I657,"In Progress - Administrative")</f>
        <v>0</v>
      </c>
      <c r="E96" s="64">
        <f t="shared" si="22"/>
        <v>0</v>
      </c>
      <c r="F96" s="62">
        <f>COUNTIFS('Self-Assessment_Cases'!$E$4:$E$657,"PM-15",'Self-Assessment_Cases'!$I4:$I657,"In Progress - Configuration")</f>
        <v>0</v>
      </c>
      <c r="G96" s="65">
        <f t="shared" si="23"/>
        <v>0</v>
      </c>
      <c r="H96" s="48">
        <f>COUNTIFS('Self-Assessment_Cases'!$E$4:$E$657,"PM-15",'Self-Assessment_Cases'!$I4:$I657,"In Progress - Installation/Upgrade")</f>
        <v>0</v>
      </c>
      <c r="I96" s="66">
        <f t="shared" si="24"/>
        <v>0</v>
      </c>
      <c r="J96" s="49">
        <f>COUNTIFS('Self-Assessment_Cases'!$E$4:$E$657,"PM-15",'Self-Assessment_Cases'!$I4:$I657,"Not Implemented - Compensating Control")</f>
        <v>0</v>
      </c>
      <c r="K96" s="67">
        <f t="shared" si="25"/>
        <v>0</v>
      </c>
      <c r="L96" s="50">
        <f>COUNTIFS('Self-Assessment_Cases'!$E$4:$E$657,"PM-15",'Self-Assessment_Cases'!$I4:$I657,"Not Implemented - Risk Negligible")</f>
        <v>0</v>
      </c>
      <c r="M96" s="56">
        <f t="shared" si="26"/>
        <v>0</v>
      </c>
      <c r="N96" s="57">
        <f>COUNTIFS('Self-Assessment_Cases'!$E$4:$E$657,"PM-15",'Self-Assessment_Cases'!$I4:$I657,"Not Implemented - Risk Accepted")</f>
        <v>0</v>
      </c>
      <c r="O96" s="57">
        <f t="shared" si="27"/>
        <v>0</v>
      </c>
      <c r="P96" s="58">
        <f>COUNTIFS('Self-Assessment_Cases'!$E$4:$E$657,"PM-15",'Self-Assessment_Cases'!$I4:$I657,"Not Implemented - Planned")</f>
        <v>0</v>
      </c>
      <c r="Q96" s="58">
        <f t="shared" si="28"/>
        <v>0</v>
      </c>
      <c r="R96" s="59">
        <f>COUNTIFS('Self-Assessment_Cases'!$E$4:$E$657,"PM-15",'Self-Assessment_Cases'!$I4:$I657,"Not Implemented - Unplanned")</f>
        <v>0</v>
      </c>
      <c r="S96" s="59">
        <f t="shared" si="29"/>
        <v>0</v>
      </c>
      <c r="T96" s="60">
        <f>COUNTIFS('Self-Assessment_Cases'!$E$4:$E$657,"PM-15",'Self-Assessment_Cases'!$I4:$I657,"Not Applicable")</f>
        <v>0</v>
      </c>
      <c r="U96" s="61"/>
      <c r="V96" s="68" t="e">
        <f t="shared" si="30"/>
        <v>#DIV/0!</v>
      </c>
      <c r="W96" s="44">
        <f t="shared" si="31"/>
        <v>0</v>
      </c>
    </row>
    <row r="97" spans="1:23" ht="15" customHeight="1" x14ac:dyDescent="0.2">
      <c r="A97" s="45" t="s">
        <v>244</v>
      </c>
      <c r="B97" s="46">
        <f>COUNTIFS('Self-Assessment_Cases'!$E$4:$E$657,"PM-16",'Self-Assessment_Cases'!$I4:$I657,"Implemented")</f>
        <v>0</v>
      </c>
      <c r="C97" s="63">
        <f t="shared" si="21"/>
        <v>0</v>
      </c>
      <c r="D97" s="47">
        <f>COUNTIFS('Self-Assessment_Cases'!$E$4:$E$657,"PM-16",'Self-Assessment_Cases'!$I4:$I657,"In Progress - Administrative")</f>
        <v>0</v>
      </c>
      <c r="E97" s="64">
        <f t="shared" si="22"/>
        <v>0</v>
      </c>
      <c r="F97" s="62">
        <f>COUNTIFS('Self-Assessment_Cases'!$E$4:$E$657,"PM-16",'Self-Assessment_Cases'!$I4:$I657,"In Progress - Configuration")</f>
        <v>0</v>
      </c>
      <c r="G97" s="65">
        <f t="shared" si="23"/>
        <v>0</v>
      </c>
      <c r="H97" s="48">
        <f>COUNTIFS('Self-Assessment_Cases'!$E$4:$E$657,"PM-16",'Self-Assessment_Cases'!$I4:$I657,"In Progress - Installation/Upgrade")</f>
        <v>0</v>
      </c>
      <c r="I97" s="66">
        <f t="shared" si="24"/>
        <v>0</v>
      </c>
      <c r="J97" s="49">
        <f>COUNTIFS('Self-Assessment_Cases'!$E$4:$E$657,"PM-16",'Self-Assessment_Cases'!$I4:$I657,"Not Implemented - Compensating Control")</f>
        <v>0</v>
      </c>
      <c r="K97" s="67">
        <f t="shared" si="25"/>
        <v>0</v>
      </c>
      <c r="L97" s="50">
        <f>COUNTIFS('Self-Assessment_Cases'!$E$4:$E$657,"PM-16",'Self-Assessment_Cases'!$I4:$I657,"Not Implemented - Risk Negligible")</f>
        <v>0</v>
      </c>
      <c r="M97" s="56">
        <f t="shared" si="26"/>
        <v>0</v>
      </c>
      <c r="N97" s="57">
        <f>COUNTIFS('Self-Assessment_Cases'!$E$4:$E$657,"PM-16",'Self-Assessment_Cases'!$I4:$I657,"Not Implemented - Risk Accepted")</f>
        <v>0</v>
      </c>
      <c r="O97" s="57">
        <f t="shared" si="27"/>
        <v>0</v>
      </c>
      <c r="P97" s="58">
        <f>COUNTIFS('Self-Assessment_Cases'!$E$4:$E$657,"PM-16",'Self-Assessment_Cases'!$I4:$I657,"Not Implemented - Planned")</f>
        <v>0</v>
      </c>
      <c r="Q97" s="58">
        <f t="shared" si="28"/>
        <v>0</v>
      </c>
      <c r="R97" s="59">
        <f>COUNTIFS('Self-Assessment_Cases'!$E$4:$E$657,"PM-16",'Self-Assessment_Cases'!$I4:$I657,"Not Implemented - Unplanned")</f>
        <v>0</v>
      </c>
      <c r="S97" s="59">
        <f t="shared" si="29"/>
        <v>0</v>
      </c>
      <c r="T97" s="60">
        <f>COUNTIFS('Self-Assessment_Cases'!$E$4:$E$657,"PM-16",'Self-Assessment_Cases'!$I4:$I657,"Not Applicable")</f>
        <v>0</v>
      </c>
      <c r="U97" s="61"/>
      <c r="V97" s="68" t="e">
        <f t="shared" si="30"/>
        <v>#DIV/0!</v>
      </c>
      <c r="W97" s="44">
        <f t="shared" si="31"/>
        <v>0</v>
      </c>
    </row>
    <row r="98" spans="1:23" ht="15" customHeight="1" x14ac:dyDescent="0.2">
      <c r="A98" s="45" t="s">
        <v>235</v>
      </c>
      <c r="B98" s="46">
        <f>COUNTIFS('Self-Assessment_Cases'!$E$4:$E$657,"PM-4",'Self-Assessment_Cases'!$I4:$I657,"Implemented")</f>
        <v>0</v>
      </c>
      <c r="C98" s="63">
        <f t="shared" si="21"/>
        <v>0</v>
      </c>
      <c r="D98" s="47">
        <f>COUNTIFS('Self-Assessment_Cases'!$E$4:$E$657,"PM-4",'Self-Assessment_Cases'!$I4:$I657,"In Progress - Administrative")</f>
        <v>0</v>
      </c>
      <c r="E98" s="64">
        <f t="shared" si="22"/>
        <v>0</v>
      </c>
      <c r="F98" s="62">
        <f>COUNTIFS('Self-Assessment_Cases'!$E$4:$E$657,"PM-4",'Self-Assessment_Cases'!$I4:$I657,"In Progress - Configuration")</f>
        <v>0</v>
      </c>
      <c r="G98" s="65">
        <f t="shared" si="23"/>
        <v>0</v>
      </c>
      <c r="H98" s="48">
        <f>COUNTIFS('Self-Assessment_Cases'!$E$4:$E$657,"PM-4",'Self-Assessment_Cases'!$I4:$I657,"In Progress - Installation/Upgrade")</f>
        <v>0</v>
      </c>
      <c r="I98" s="66">
        <f t="shared" si="24"/>
        <v>0</v>
      </c>
      <c r="J98" s="49">
        <f>COUNTIFS('Self-Assessment_Cases'!$E$4:$E$657,"PM-4",'Self-Assessment_Cases'!$I4:$I657,"Not Implemented - Compensating Control")</f>
        <v>0</v>
      </c>
      <c r="K98" s="67">
        <f t="shared" si="25"/>
        <v>0</v>
      </c>
      <c r="L98" s="50">
        <f>COUNTIFS('Self-Assessment_Cases'!$E$4:$E$657,"PM-4",'Self-Assessment_Cases'!$I4:$I657,"Not Implemented - Risk Negligible")</f>
        <v>0</v>
      </c>
      <c r="M98" s="56">
        <f t="shared" si="26"/>
        <v>0</v>
      </c>
      <c r="N98" s="57">
        <f>COUNTIFS('Self-Assessment_Cases'!$E$4:$E$657,"PM-4",'Self-Assessment_Cases'!$I4:$I657,"Not Implemented - Risk Accepted")</f>
        <v>0</v>
      </c>
      <c r="O98" s="57">
        <f t="shared" si="27"/>
        <v>0</v>
      </c>
      <c r="P98" s="58">
        <f>COUNTIFS('Self-Assessment_Cases'!$E$4:$E$657,"PM-4",'Self-Assessment_Cases'!$I4:$I657,"Not Implemented - Planned")</f>
        <v>0</v>
      </c>
      <c r="Q98" s="58">
        <f t="shared" si="28"/>
        <v>0</v>
      </c>
      <c r="R98" s="59">
        <f>COUNTIFS('Self-Assessment_Cases'!$E$4:$E$657,"PM-4",'Self-Assessment_Cases'!$I4:$I657,"Not Implemented - Unplanned")</f>
        <v>0</v>
      </c>
      <c r="S98" s="59">
        <f t="shared" si="29"/>
        <v>0</v>
      </c>
      <c r="T98" s="60">
        <f>COUNTIFS('Self-Assessment_Cases'!$E$4:$E$657,"PM-4",'Self-Assessment_Cases'!$I4:$I657,"Not Applicable")</f>
        <v>0</v>
      </c>
      <c r="U98" s="61"/>
      <c r="V98" s="68" t="e">
        <f t="shared" si="30"/>
        <v>#DIV/0!</v>
      </c>
      <c r="W98" s="44">
        <f t="shared" si="31"/>
        <v>0</v>
      </c>
    </row>
    <row r="99" spans="1:23" ht="15" customHeight="1" x14ac:dyDescent="0.2">
      <c r="A99" s="45" t="s">
        <v>236</v>
      </c>
      <c r="B99" s="46">
        <f>COUNTIFS('Self-Assessment_Cases'!$E$4:$E$657,"PM-6",'Self-Assessment_Cases'!$I4:$I657,"Implemented")</f>
        <v>0</v>
      </c>
      <c r="C99" s="63">
        <f t="shared" si="21"/>
        <v>0</v>
      </c>
      <c r="D99" s="47">
        <f>COUNTIFS('Self-Assessment_Cases'!$E$4:$E$657,"PM-6",'Self-Assessment_Cases'!$I4:$I657,"In Progress - Administrative")</f>
        <v>0</v>
      </c>
      <c r="E99" s="64">
        <f t="shared" si="22"/>
        <v>0</v>
      </c>
      <c r="F99" s="62">
        <f>COUNTIFS('Self-Assessment_Cases'!$E$4:$E$657,"PM-6",'Self-Assessment_Cases'!$I4:$I657,"In Progress - Configuration")</f>
        <v>0</v>
      </c>
      <c r="G99" s="65">
        <f t="shared" si="23"/>
        <v>0</v>
      </c>
      <c r="H99" s="48">
        <f>COUNTIFS('Self-Assessment_Cases'!$E$4:$E$657,"PM-6",'Self-Assessment_Cases'!$I4:$I657,"In Progress - Installation/Upgrade")</f>
        <v>0</v>
      </c>
      <c r="I99" s="66">
        <f t="shared" si="24"/>
        <v>0</v>
      </c>
      <c r="J99" s="49">
        <f>COUNTIFS('Self-Assessment_Cases'!$E$4:$E$657,"PM-6",'Self-Assessment_Cases'!$I4:$I657,"Not Implemented - Compensating Control")</f>
        <v>0</v>
      </c>
      <c r="K99" s="67">
        <f t="shared" si="25"/>
        <v>0</v>
      </c>
      <c r="L99" s="50">
        <f>COUNTIFS('Self-Assessment_Cases'!$E$4:$E$657,"PM-6",'Self-Assessment_Cases'!$I4:$I657,"Not Implemented - Risk Negligible")</f>
        <v>0</v>
      </c>
      <c r="M99" s="56">
        <f t="shared" si="26"/>
        <v>0</v>
      </c>
      <c r="N99" s="57">
        <f>COUNTIFS('Self-Assessment_Cases'!$E$4:$E$657,"PM-6",'Self-Assessment_Cases'!$I4:$I657,"Not Implemented - Risk Accepted")</f>
        <v>0</v>
      </c>
      <c r="O99" s="57">
        <f t="shared" si="27"/>
        <v>0</v>
      </c>
      <c r="P99" s="58">
        <f>COUNTIFS('Self-Assessment_Cases'!$E$4:$E$657,"PM-6",'Self-Assessment_Cases'!$I4:$I657,"Not Implemented - Planned")</f>
        <v>0</v>
      </c>
      <c r="Q99" s="58">
        <f t="shared" si="28"/>
        <v>0</v>
      </c>
      <c r="R99" s="59">
        <f>COUNTIFS('Self-Assessment_Cases'!$E$4:$E$657,"PM-6",'Self-Assessment_Cases'!$I4:$I657,"Not Implemented - Unplanned")</f>
        <v>0</v>
      </c>
      <c r="S99" s="59">
        <f t="shared" si="29"/>
        <v>0</v>
      </c>
      <c r="T99" s="60">
        <f>COUNTIFS('Self-Assessment_Cases'!$E$4:$E$657,"PM-6",'Self-Assessment_Cases'!$I4:$I657,"Not Applicable")</f>
        <v>0</v>
      </c>
      <c r="U99" s="61"/>
      <c r="V99" s="68" t="e">
        <f t="shared" si="30"/>
        <v>#DIV/0!</v>
      </c>
      <c r="W99" s="44">
        <f t="shared" si="31"/>
        <v>0</v>
      </c>
    </row>
    <row r="100" spans="1:23" ht="15" customHeight="1" x14ac:dyDescent="0.2">
      <c r="A100" s="45" t="s">
        <v>237</v>
      </c>
      <c r="B100" s="46">
        <f>COUNTIFS('Self-Assessment_Cases'!$E$4:$E$657,"PM-8",'Self-Assessment_Cases'!$I4:$I657,"Implemented")</f>
        <v>0</v>
      </c>
      <c r="C100" s="63">
        <f t="shared" si="21"/>
        <v>0</v>
      </c>
      <c r="D100" s="47">
        <f>COUNTIFS('Self-Assessment_Cases'!$E$4:$E$657,"PM-8",'Self-Assessment_Cases'!$I4:$I657,"In Progress - Administrative")</f>
        <v>0</v>
      </c>
      <c r="E100" s="64">
        <f t="shared" si="22"/>
        <v>0</v>
      </c>
      <c r="F100" s="62">
        <f>COUNTIFS('Self-Assessment_Cases'!$E$4:$E$657,"PM-8",'Self-Assessment_Cases'!$I4:$I657,"In Progress - Configuration")</f>
        <v>0</v>
      </c>
      <c r="G100" s="65">
        <f t="shared" si="23"/>
        <v>0</v>
      </c>
      <c r="H100" s="48">
        <f>COUNTIFS('Self-Assessment_Cases'!$E$4:$E$657,"PM-8",'Self-Assessment_Cases'!$I4:$I657,"In Progress - Installation/Upgrade")</f>
        <v>0</v>
      </c>
      <c r="I100" s="66">
        <f t="shared" si="24"/>
        <v>0</v>
      </c>
      <c r="J100" s="49">
        <f>COUNTIFS('Self-Assessment_Cases'!$E$4:$E$657,"PM-8",'Self-Assessment_Cases'!$I4:$I657,"Not Implemented - Compensating Control")</f>
        <v>0</v>
      </c>
      <c r="K100" s="67">
        <f t="shared" si="25"/>
        <v>0</v>
      </c>
      <c r="L100" s="50">
        <f>COUNTIFS('Self-Assessment_Cases'!$E$4:$E$657,"PM-8",'Self-Assessment_Cases'!$I4:$I657,"Not Implemented - Risk Negligible")</f>
        <v>0</v>
      </c>
      <c r="M100" s="56">
        <f t="shared" si="26"/>
        <v>0</v>
      </c>
      <c r="N100" s="57">
        <f>COUNTIFS('Self-Assessment_Cases'!$E$4:$E$657,"PM-8",'Self-Assessment_Cases'!$I4:$I657,"Not Implemented - Risk Accepted")</f>
        <v>0</v>
      </c>
      <c r="O100" s="57">
        <f t="shared" si="27"/>
        <v>0</v>
      </c>
      <c r="P100" s="58">
        <f>COUNTIFS('Self-Assessment_Cases'!$E$4:$E$657,"PM-8",'Self-Assessment_Cases'!$I4:$I657,"Not Implemented - Planned")</f>
        <v>0</v>
      </c>
      <c r="Q100" s="58">
        <f t="shared" si="28"/>
        <v>0</v>
      </c>
      <c r="R100" s="59">
        <f>COUNTIFS('Self-Assessment_Cases'!$E$4:$E$657,"PM-8",'Self-Assessment_Cases'!$I4:$I657,"Not Implemented - Unplanned")</f>
        <v>0</v>
      </c>
      <c r="S100" s="59">
        <f t="shared" si="29"/>
        <v>0</v>
      </c>
      <c r="T100" s="60">
        <f>COUNTIFS('Self-Assessment_Cases'!$E$4:$E$657,"PM-8",'Self-Assessment_Cases'!$I4:$I657,"Not Applicable")</f>
        <v>0</v>
      </c>
      <c r="U100" s="61"/>
      <c r="V100" s="68" t="e">
        <f t="shared" si="30"/>
        <v>#DIV/0!</v>
      </c>
      <c r="W100" s="44">
        <f t="shared" si="31"/>
        <v>0</v>
      </c>
    </row>
    <row r="101" spans="1:23" ht="15" customHeight="1" x14ac:dyDescent="0.2">
      <c r="A101" s="45" t="s">
        <v>238</v>
      </c>
      <c r="B101" s="46">
        <f>COUNTIFS('Self-Assessment_Cases'!$E$4:$E$657,"PM-9",'Self-Assessment_Cases'!$I4:$I657,"Implemented")</f>
        <v>0</v>
      </c>
      <c r="C101" s="63">
        <f t="shared" si="21"/>
        <v>0</v>
      </c>
      <c r="D101" s="47">
        <f>COUNTIFS('Self-Assessment_Cases'!$E$4:$E$657,"PM-9",'Self-Assessment_Cases'!$I4:$I657,"In Progress - Administrative")</f>
        <v>0</v>
      </c>
      <c r="E101" s="64">
        <f t="shared" si="22"/>
        <v>0</v>
      </c>
      <c r="F101" s="62">
        <f>COUNTIFS('Self-Assessment_Cases'!$E$4:$E$657,"PM-9",'Self-Assessment_Cases'!$I4:$I657,"In Progress - Configuration")</f>
        <v>0</v>
      </c>
      <c r="G101" s="65">
        <f t="shared" si="23"/>
        <v>0</v>
      </c>
      <c r="H101" s="48">
        <f>COUNTIFS('Self-Assessment_Cases'!$E$4:$E$657,"PM-9",'Self-Assessment_Cases'!$I4:$I657,"In Progress - Installation/Upgrade")</f>
        <v>0</v>
      </c>
      <c r="I101" s="66">
        <f t="shared" si="24"/>
        <v>0</v>
      </c>
      <c r="J101" s="49">
        <f>COUNTIFS('Self-Assessment_Cases'!$E$4:$E$657,"PM-9",'Self-Assessment_Cases'!$I4:$I657,"Not Implemented - Compensating Control")</f>
        <v>0</v>
      </c>
      <c r="K101" s="67">
        <f t="shared" si="25"/>
        <v>0</v>
      </c>
      <c r="L101" s="50">
        <f>COUNTIFS('Self-Assessment_Cases'!$E$4:$E$657,"PM-9",'Self-Assessment_Cases'!$I4:$I657,"Not Implemented - Risk Negligible")</f>
        <v>0</v>
      </c>
      <c r="M101" s="56">
        <f t="shared" si="26"/>
        <v>0</v>
      </c>
      <c r="N101" s="57">
        <f>COUNTIFS('Self-Assessment_Cases'!$E$4:$E$657,"PM-9",'Self-Assessment_Cases'!$I4:$I657,"Not Implemented - Risk Accepted")</f>
        <v>0</v>
      </c>
      <c r="O101" s="57">
        <f t="shared" si="27"/>
        <v>0</v>
      </c>
      <c r="P101" s="58">
        <f>COUNTIFS('Self-Assessment_Cases'!$E$4:$E$657,"PM-9",'Self-Assessment_Cases'!$I4:$I657,"Not Implemented - Planned")</f>
        <v>0</v>
      </c>
      <c r="Q101" s="58">
        <f t="shared" si="28"/>
        <v>0</v>
      </c>
      <c r="R101" s="59">
        <f>COUNTIFS('Self-Assessment_Cases'!$E$4:$E$657,"PM-9",'Self-Assessment_Cases'!$I4:$I657,"Not Implemented - Unplanned")</f>
        <v>0</v>
      </c>
      <c r="S101" s="59">
        <f t="shared" si="29"/>
        <v>0</v>
      </c>
      <c r="T101" s="60">
        <f>COUNTIFS('Self-Assessment_Cases'!$E$4:$E$657,"PM-9",'Self-Assessment_Cases'!$I4:$I657,"Not Applicable")</f>
        <v>0</v>
      </c>
      <c r="U101" s="61"/>
      <c r="V101" s="68" t="e">
        <f t="shared" si="30"/>
        <v>#DIV/0!</v>
      </c>
      <c r="W101" s="44">
        <f t="shared" si="31"/>
        <v>0</v>
      </c>
    </row>
    <row r="102" spans="1:23" x14ac:dyDescent="0.2">
      <c r="A102" s="45" t="s">
        <v>155</v>
      </c>
      <c r="B102" s="46">
        <f>COUNTIFS('Self-Assessment_Cases'!$E$4:$E$657,"PS-1",'Self-Assessment_Cases'!$I4:$I657,"Implemented")</f>
        <v>0</v>
      </c>
      <c r="C102" s="63">
        <f t="shared" si="21"/>
        <v>0</v>
      </c>
      <c r="D102" s="47">
        <f>COUNTIFS('Self-Assessment_Cases'!$E$4:$E$657,"PS-1",'Self-Assessment_Cases'!$I4:$I657,"In Progress - Administrative")</f>
        <v>0</v>
      </c>
      <c r="E102" s="64">
        <f t="shared" si="22"/>
        <v>0</v>
      </c>
      <c r="F102" s="62">
        <f>COUNTIFS('Self-Assessment_Cases'!$E$4:$E$657,"PS-1",'Self-Assessment_Cases'!$I4:$I657,"In Progress - Configuration")</f>
        <v>0</v>
      </c>
      <c r="G102" s="65">
        <f t="shared" si="23"/>
        <v>0</v>
      </c>
      <c r="H102" s="48">
        <f>COUNTIFS('Self-Assessment_Cases'!$E$4:$E$657,"PS-1",'Self-Assessment_Cases'!$I4:$I657,"In Progress - Installation/Upgrade")</f>
        <v>0</v>
      </c>
      <c r="I102" s="66">
        <f t="shared" si="24"/>
        <v>0</v>
      </c>
      <c r="J102" s="49">
        <f>COUNTIFS('Self-Assessment_Cases'!$E$4:$E$657,"PS-1",'Self-Assessment_Cases'!$I4:$I657,"Not Implemented - Compensating Control")</f>
        <v>0</v>
      </c>
      <c r="K102" s="67">
        <f t="shared" si="25"/>
        <v>0</v>
      </c>
      <c r="L102" s="50">
        <f>COUNTIFS('Self-Assessment_Cases'!$E$4:$E$657,"PS-1",'Self-Assessment_Cases'!$I4:$I657,"Not Implemented - Risk Negligible")</f>
        <v>0</v>
      </c>
      <c r="M102" s="56">
        <f t="shared" si="26"/>
        <v>0</v>
      </c>
      <c r="N102" s="57">
        <f>COUNTIFS('Self-Assessment_Cases'!$E$4:$E$657,"PS-1",'Self-Assessment_Cases'!$I4:$I657,"Not Implemented - Risk Accepted")</f>
        <v>0</v>
      </c>
      <c r="O102" s="57">
        <f t="shared" si="27"/>
        <v>0</v>
      </c>
      <c r="P102" s="58">
        <f>COUNTIFS('Self-Assessment_Cases'!$E$4:$E$657,"PS-1",'Self-Assessment_Cases'!$I4:$I657,"Not Implemented - Planned")</f>
        <v>0</v>
      </c>
      <c r="Q102" s="58">
        <f t="shared" si="28"/>
        <v>0</v>
      </c>
      <c r="R102" s="59">
        <f>COUNTIFS('Self-Assessment_Cases'!$E$4:$E$657,"PS-1",'Self-Assessment_Cases'!$I4:$I657,"Not Implemented - Unplanned")</f>
        <v>0</v>
      </c>
      <c r="S102" s="59">
        <f t="shared" si="29"/>
        <v>0</v>
      </c>
      <c r="T102" s="60">
        <f>COUNTIFS('Self-Assessment_Cases'!$E$4:$E$657,"PS-1",'Self-Assessment_Cases'!$I4:$I657,"Not Applicable")</f>
        <v>0</v>
      </c>
      <c r="U102" s="61"/>
      <c r="V102" s="68" t="e">
        <f t="shared" si="30"/>
        <v>#DIV/0!</v>
      </c>
      <c r="W102" s="44">
        <f t="shared" si="31"/>
        <v>0</v>
      </c>
    </row>
    <row r="103" spans="1:23" x14ac:dyDescent="0.2">
      <c r="A103" s="45" t="s">
        <v>157</v>
      </c>
      <c r="B103" s="46">
        <f>COUNTIFS('Self-Assessment_Cases'!$E$4:$E$657,"PS-2",'Self-Assessment_Cases'!$I4:$I657,"Implemented")</f>
        <v>0</v>
      </c>
      <c r="C103" s="63">
        <f t="shared" si="21"/>
        <v>0</v>
      </c>
      <c r="D103" s="47">
        <f>COUNTIFS('Self-Assessment_Cases'!$E$4:$E$657,"PS-2",'Self-Assessment_Cases'!$I4:$I657,"In Progress - Administrative")</f>
        <v>0</v>
      </c>
      <c r="E103" s="64">
        <f t="shared" si="22"/>
        <v>0</v>
      </c>
      <c r="F103" s="62">
        <f>COUNTIFS('Self-Assessment_Cases'!$E$4:$E$657,"PS-2",'Self-Assessment_Cases'!$I4:$I657,"In Progress - Configuration")</f>
        <v>0</v>
      </c>
      <c r="G103" s="65">
        <f t="shared" si="23"/>
        <v>0</v>
      </c>
      <c r="H103" s="48">
        <f>COUNTIFS('Self-Assessment_Cases'!$E$4:$E$657,"PS-2",'Self-Assessment_Cases'!$I4:$I657,"In Progress - Installation/Upgrade")</f>
        <v>0</v>
      </c>
      <c r="I103" s="66">
        <f t="shared" si="24"/>
        <v>0</v>
      </c>
      <c r="J103" s="49">
        <f>COUNTIFS('Self-Assessment_Cases'!$E$4:$E$657,"PS-2",'Self-Assessment_Cases'!$I4:$I657,"Not Implemented - Compensating Control")</f>
        <v>0</v>
      </c>
      <c r="K103" s="67">
        <f t="shared" si="25"/>
        <v>0</v>
      </c>
      <c r="L103" s="50">
        <f>COUNTIFS('Self-Assessment_Cases'!$E$4:$E$657,"PS-2",'Self-Assessment_Cases'!$I4:$I657,"Not Implemented - Risk Negligible")</f>
        <v>0</v>
      </c>
      <c r="M103" s="56">
        <f t="shared" si="26"/>
        <v>0</v>
      </c>
      <c r="N103" s="57">
        <f>COUNTIFS('Self-Assessment_Cases'!$E$4:$E$657,"PS-2",'Self-Assessment_Cases'!$I4:$I657,"Not Implemented - Risk Accepted")</f>
        <v>0</v>
      </c>
      <c r="O103" s="57">
        <f t="shared" si="27"/>
        <v>0</v>
      </c>
      <c r="P103" s="58">
        <f>COUNTIFS('Self-Assessment_Cases'!$E$4:$E$657,"PS-2",'Self-Assessment_Cases'!$I4:$I657,"Not Implemented - Planned")</f>
        <v>0</v>
      </c>
      <c r="Q103" s="58">
        <f t="shared" si="28"/>
        <v>0</v>
      </c>
      <c r="R103" s="59">
        <f>COUNTIFS('Self-Assessment_Cases'!$E$4:$E$657,"PS-2",'Self-Assessment_Cases'!$I4:$I657,"Not Implemented - Unplanned")</f>
        <v>0</v>
      </c>
      <c r="S103" s="59">
        <f t="shared" si="29"/>
        <v>0</v>
      </c>
      <c r="T103" s="60">
        <f>COUNTIFS('Self-Assessment_Cases'!$E$4:$E$657,"PS-2",'Self-Assessment_Cases'!$I4:$I657,"Not Applicable")</f>
        <v>0</v>
      </c>
      <c r="U103" s="61"/>
      <c r="V103" s="68" t="e">
        <f t="shared" si="30"/>
        <v>#DIV/0!</v>
      </c>
      <c r="W103" s="44">
        <f t="shared" si="31"/>
        <v>0</v>
      </c>
    </row>
    <row r="104" spans="1:23" ht="15" customHeight="1" x14ac:dyDescent="0.2">
      <c r="A104" s="45" t="s">
        <v>159</v>
      </c>
      <c r="B104" s="46">
        <f>COUNTIFS('Self-Assessment_Cases'!$E$4:$E$657,"PS-3",'Self-Assessment_Cases'!$I4:$I657,"Implemented")</f>
        <v>0</v>
      </c>
      <c r="C104" s="63">
        <f t="shared" si="21"/>
        <v>0</v>
      </c>
      <c r="D104" s="47">
        <f>COUNTIFS('Self-Assessment_Cases'!$E$4:$E$657,"PS-3",'Self-Assessment_Cases'!$I4:$I657,"In Progress - Administrative")</f>
        <v>0</v>
      </c>
      <c r="E104" s="64">
        <f t="shared" si="22"/>
        <v>0</v>
      </c>
      <c r="F104" s="62">
        <f>COUNTIFS('Self-Assessment_Cases'!$E$4:$E$657,"PS-3",'Self-Assessment_Cases'!$I4:$I657,"In Progress - Configuration")</f>
        <v>0</v>
      </c>
      <c r="G104" s="65">
        <f t="shared" si="23"/>
        <v>0</v>
      </c>
      <c r="H104" s="48">
        <f>COUNTIFS('Self-Assessment_Cases'!$E$4:$E$657,"PS-3",'Self-Assessment_Cases'!$I4:$I657,"In Progress - Installation/Upgrade")</f>
        <v>0</v>
      </c>
      <c r="I104" s="66">
        <f t="shared" si="24"/>
        <v>0</v>
      </c>
      <c r="J104" s="49">
        <f>COUNTIFS('Self-Assessment_Cases'!$E$4:$E$657,"PS-3",'Self-Assessment_Cases'!$I4:$I657,"Not Implemented - Compensating Control")</f>
        <v>0</v>
      </c>
      <c r="K104" s="67">
        <f t="shared" si="25"/>
        <v>0</v>
      </c>
      <c r="L104" s="50">
        <f>COUNTIFS('Self-Assessment_Cases'!$E$4:$E$657,"PS-3",'Self-Assessment_Cases'!$I4:$I657,"Not Implemented - Risk Negligible")</f>
        <v>0</v>
      </c>
      <c r="M104" s="56">
        <f t="shared" si="26"/>
        <v>0</v>
      </c>
      <c r="N104" s="57">
        <f>COUNTIFS('Self-Assessment_Cases'!$E$4:$E$657,"PS-3",'Self-Assessment_Cases'!$I4:$I657,"Not Implemented - Risk Accepted")</f>
        <v>0</v>
      </c>
      <c r="O104" s="57">
        <f t="shared" si="27"/>
        <v>0</v>
      </c>
      <c r="P104" s="58">
        <f>COUNTIFS('Self-Assessment_Cases'!$E$4:$E$657,"PS-3",'Self-Assessment_Cases'!$I4:$I657,"Not Implemented - Planned")</f>
        <v>0</v>
      </c>
      <c r="Q104" s="58">
        <f t="shared" si="28"/>
        <v>0</v>
      </c>
      <c r="R104" s="59">
        <f>COUNTIFS('Self-Assessment_Cases'!$E$4:$E$657,"PS-3",'Self-Assessment_Cases'!$I4:$I657,"Not Implemented - Unplanned")</f>
        <v>0</v>
      </c>
      <c r="S104" s="59">
        <f t="shared" si="29"/>
        <v>0</v>
      </c>
      <c r="T104" s="60">
        <f>COUNTIFS('Self-Assessment_Cases'!$E$4:$E$657,"PS-3",'Self-Assessment_Cases'!$I4:$I657,"Not Applicable")</f>
        <v>0</v>
      </c>
      <c r="U104" s="61"/>
      <c r="V104" s="68" t="e">
        <f t="shared" si="30"/>
        <v>#DIV/0!</v>
      </c>
      <c r="W104" s="44">
        <f t="shared" si="31"/>
        <v>0</v>
      </c>
    </row>
    <row r="105" spans="1:23" ht="15" customHeight="1" x14ac:dyDescent="0.2">
      <c r="A105" s="45" t="s">
        <v>1571</v>
      </c>
      <c r="B105" s="46">
        <f>COUNTIFS('Self-Assessment_Cases'!$E$4:$E$657,"PS-4",'Self-Assessment_Cases'!$I4:$I657,"Implemented")</f>
        <v>0</v>
      </c>
      <c r="C105" s="63">
        <f t="shared" ref="C105" si="32">B105*5</f>
        <v>0</v>
      </c>
      <c r="D105" s="47">
        <f>COUNTIFS('Self-Assessment_Cases'!$E$4:$E$657,"PS-4",'Self-Assessment_Cases'!$I4:$I657,"In Progress - Administrative")</f>
        <v>0</v>
      </c>
      <c r="E105" s="64">
        <f t="shared" ref="E105" si="33">D105*3</f>
        <v>0</v>
      </c>
      <c r="F105" s="62">
        <f>COUNTIFS('Self-Assessment_Cases'!$E$4:$E$657,"PS-3",'Self-Assessment_Cases'!$I5:$I658,"In Progress - Configuration")</f>
        <v>0</v>
      </c>
      <c r="G105" s="65">
        <f t="shared" ref="G105" si="34">F105*3</f>
        <v>0</v>
      </c>
      <c r="H105" s="48">
        <f>COUNTIFS('Self-Assessment_Cases'!$E$4:$E$657,"PS-4",'Self-Assessment_Cases'!$I4:$I657,"In Progress - Installation/Upgrade")</f>
        <v>0</v>
      </c>
      <c r="I105" s="66">
        <f t="shared" ref="I105" si="35">H105*3</f>
        <v>0</v>
      </c>
      <c r="J105" s="49">
        <f>COUNTIFS('Self-Assessment_Cases'!$E$4:$E$657,"PS-4",'Self-Assessment_Cases'!$I4:$I657,"Not Implemented - Compensating Control")</f>
        <v>0</v>
      </c>
      <c r="K105" s="67">
        <f t="shared" ref="K105" si="36">J105*5</f>
        <v>0</v>
      </c>
      <c r="L105" s="50">
        <f>COUNTIFS('Self-Assessment_Cases'!$E$4:$E$657,"PS-3",'Self-Assessment_Cases'!$I5:$I658,"Not Implemented - Risk Negligible")</f>
        <v>0</v>
      </c>
      <c r="M105" s="56">
        <f t="shared" ref="M105" si="37">L105*5</f>
        <v>0</v>
      </c>
      <c r="N105" s="57">
        <f>COUNTIFS('Self-Assessment_Cases'!$E$4:$E$657,"PS-3",'Self-Assessment_Cases'!$I5:$I658,"Not Implemented - Risk Accepted")</f>
        <v>0</v>
      </c>
      <c r="O105" s="57">
        <f t="shared" ref="O105" si="38">N105</f>
        <v>0</v>
      </c>
      <c r="P105" s="58">
        <f>COUNTIFS('Self-Assessment_Cases'!$E$4:$E$657,"PS-3",'Self-Assessment_Cases'!$I5:$I658,"Not Implemented - Planned")</f>
        <v>0</v>
      </c>
      <c r="Q105" s="58">
        <f t="shared" ref="Q105" si="39">P105</f>
        <v>0</v>
      </c>
      <c r="R105" s="59">
        <f>COUNTIFS('Self-Assessment_Cases'!$E$4:$E$657,"PS-3",'Self-Assessment_Cases'!$I5:$I658,"Not Implemented - Unplanned")</f>
        <v>0</v>
      </c>
      <c r="S105" s="59">
        <f t="shared" ref="S105" si="40">R105</f>
        <v>0</v>
      </c>
      <c r="T105" s="60">
        <f>COUNTIFS('Self-Assessment_Cases'!$E$4:$E$657,"PS-4",'Self-Assessment_Cases'!$I4:$I657,"Not Applicable")</f>
        <v>0</v>
      </c>
      <c r="U105" s="61"/>
      <c r="V105" s="68" t="e">
        <f t="shared" ref="V105" si="41">(C105+E105+G105+I105+K105+M105+O105+Q105+S105)/W105</f>
        <v>#DIV/0!</v>
      </c>
      <c r="W105" s="44"/>
    </row>
    <row r="106" spans="1:23" x14ac:dyDescent="0.2">
      <c r="A106" s="45" t="s">
        <v>161</v>
      </c>
      <c r="B106" s="46">
        <f>COUNTIFS('Self-Assessment_Cases'!$E$4:$E$657,"PS-5",'Self-Assessment_Cases'!$I4:$I657,"Implemented")</f>
        <v>0</v>
      </c>
      <c r="C106" s="63">
        <f t="shared" si="21"/>
        <v>0</v>
      </c>
      <c r="D106" s="47">
        <f>COUNTIFS('Self-Assessment_Cases'!$E$4:$E$657,"PS-5",'Self-Assessment_Cases'!$I4:$I657,"In Progress - Administrative")</f>
        <v>0</v>
      </c>
      <c r="E106" s="64">
        <f t="shared" si="22"/>
        <v>0</v>
      </c>
      <c r="F106" s="62">
        <f>COUNTIFS('Self-Assessment_Cases'!$E$4:$E$657,"PS-5",'Self-Assessment_Cases'!$I4:$I657,"In Progress - Configuration")</f>
        <v>0</v>
      </c>
      <c r="G106" s="65">
        <f t="shared" si="23"/>
        <v>0</v>
      </c>
      <c r="H106" s="48">
        <f>COUNTIFS('Self-Assessment_Cases'!$E$4:$E$657,"PS-5",'Self-Assessment_Cases'!$I4:$I657,"In Progress - Installation/Upgrade")</f>
        <v>0</v>
      </c>
      <c r="I106" s="66">
        <f t="shared" si="24"/>
        <v>0</v>
      </c>
      <c r="J106" s="49">
        <f>COUNTIFS('Self-Assessment_Cases'!$E$4:$E$657,"PS-5",'Self-Assessment_Cases'!$I4:$I657,"Not Implemented - Compensating Control")</f>
        <v>0</v>
      </c>
      <c r="K106" s="67">
        <f t="shared" si="25"/>
        <v>0</v>
      </c>
      <c r="L106" s="50">
        <f>COUNTIFS('Self-Assessment_Cases'!$E$4:$E$657,"PS-5",'Self-Assessment_Cases'!$I4:$I657,"Not Implemented - Risk Negligible")</f>
        <v>0</v>
      </c>
      <c r="M106" s="56">
        <f t="shared" si="26"/>
        <v>0</v>
      </c>
      <c r="N106" s="57">
        <f>COUNTIFS('Self-Assessment_Cases'!$E$4:$E$657,"PS-5",'Self-Assessment_Cases'!$I4:$I657,"Not Implemented - Risk Accepted")</f>
        <v>0</v>
      </c>
      <c r="O106" s="57">
        <f t="shared" si="27"/>
        <v>0</v>
      </c>
      <c r="P106" s="58">
        <f>COUNTIFS('Self-Assessment_Cases'!$E$4:$E$657,"PS-5",'Self-Assessment_Cases'!$I4:$I657,"Not Implemented - Planned")</f>
        <v>0</v>
      </c>
      <c r="Q106" s="58">
        <f t="shared" si="28"/>
        <v>0</v>
      </c>
      <c r="R106" s="59">
        <f>COUNTIFS('Self-Assessment_Cases'!$E$4:$E$657,"PS-5",'Self-Assessment_Cases'!$I4:$I657,"Not Implemented - Unplanned")</f>
        <v>0</v>
      </c>
      <c r="S106" s="59">
        <f t="shared" si="29"/>
        <v>0</v>
      </c>
      <c r="T106" s="60">
        <f>COUNTIFS('Self-Assessment_Cases'!$E$4:$E$657,"PS-5",'Self-Assessment_Cases'!$I4:$I657,"Not Applicable")</f>
        <v>0</v>
      </c>
      <c r="U106" s="61"/>
      <c r="V106" s="68" t="e">
        <f t="shared" si="30"/>
        <v>#DIV/0!</v>
      </c>
      <c r="W106" s="44">
        <f t="shared" si="31"/>
        <v>0</v>
      </c>
    </row>
    <row r="107" spans="1:23" ht="15" customHeight="1" x14ac:dyDescent="0.2">
      <c r="A107" s="45" t="s">
        <v>163</v>
      </c>
      <c r="B107" s="46">
        <f>COUNTIFS('Self-Assessment_Cases'!$E$4:$E$657,"PS-6",'Self-Assessment_Cases'!$I4:$I657,"Implemented")</f>
        <v>0</v>
      </c>
      <c r="C107" s="63">
        <f t="shared" si="21"/>
        <v>0</v>
      </c>
      <c r="D107" s="47">
        <f>COUNTIFS('Self-Assessment_Cases'!$E$4:$E$657,"PS-6",'Self-Assessment_Cases'!$I4:$I657,"In Progress - Administrative")</f>
        <v>0</v>
      </c>
      <c r="E107" s="64">
        <f t="shared" si="22"/>
        <v>0</v>
      </c>
      <c r="F107" s="62">
        <f>COUNTIFS('Self-Assessment_Cases'!$E$4:$E$657,"PS-6",'Self-Assessment_Cases'!$I4:$I657,"In Progress - Configuration")</f>
        <v>0</v>
      </c>
      <c r="G107" s="65">
        <f t="shared" si="23"/>
        <v>0</v>
      </c>
      <c r="H107" s="48">
        <f>COUNTIFS('Self-Assessment_Cases'!$E$4:$E$657,"PS-6",'Self-Assessment_Cases'!$I4:$I657,"In Progress - Installation/Upgrade")</f>
        <v>0</v>
      </c>
      <c r="I107" s="66">
        <f t="shared" si="24"/>
        <v>0</v>
      </c>
      <c r="J107" s="49">
        <f>COUNTIFS('Self-Assessment_Cases'!$E$4:$E$657,"PS-6",'Self-Assessment_Cases'!$I4:$I657,"Not Implemented - Compensating Control")</f>
        <v>0</v>
      </c>
      <c r="K107" s="67">
        <f t="shared" si="25"/>
        <v>0</v>
      </c>
      <c r="L107" s="50">
        <f>COUNTIFS('Self-Assessment_Cases'!$E$4:$E$657,"PS-6",'Self-Assessment_Cases'!$I4:$I657,"Not Implemented - Risk Negligible")</f>
        <v>0</v>
      </c>
      <c r="M107" s="56">
        <f t="shared" si="26"/>
        <v>0</v>
      </c>
      <c r="N107" s="57">
        <f>COUNTIFS('Self-Assessment_Cases'!$E$4:$E$657,"PS-6",'Self-Assessment_Cases'!$I4:$I657,"Not Implemented - Risk Accepted")</f>
        <v>0</v>
      </c>
      <c r="O107" s="57">
        <f t="shared" si="27"/>
        <v>0</v>
      </c>
      <c r="P107" s="58">
        <f>COUNTIFS('Self-Assessment_Cases'!$E$4:$E$657,"PS-6",'Self-Assessment_Cases'!$I4:$I657,"Not Implemented - Planned")</f>
        <v>0</v>
      </c>
      <c r="Q107" s="58">
        <f t="shared" si="28"/>
        <v>0</v>
      </c>
      <c r="R107" s="59">
        <f>COUNTIFS('Self-Assessment_Cases'!$E$4:$E$657,"PS-6",'Self-Assessment_Cases'!$I4:$I657,"Not Implemented - Unplanned")</f>
        <v>0</v>
      </c>
      <c r="S107" s="59">
        <f t="shared" si="29"/>
        <v>0</v>
      </c>
      <c r="T107" s="60">
        <f>COUNTIFS('Self-Assessment_Cases'!$E$4:$E$657,"PS-6",'Self-Assessment_Cases'!$I4:$I657,"Not Applicable")</f>
        <v>0</v>
      </c>
      <c r="U107" s="61"/>
      <c r="V107" s="68" t="e">
        <f t="shared" si="30"/>
        <v>#DIV/0!</v>
      </c>
      <c r="W107" s="44">
        <f t="shared" si="31"/>
        <v>0</v>
      </c>
    </row>
    <row r="108" spans="1:23" ht="15" customHeight="1" x14ac:dyDescent="0.2">
      <c r="A108" s="45" t="s">
        <v>165</v>
      </c>
      <c r="B108" s="46">
        <f>COUNTIFS('Self-Assessment_Cases'!$E$4:$E$657,"PS-7",'Self-Assessment_Cases'!$I4:$I657,"Implemented")</f>
        <v>0</v>
      </c>
      <c r="C108" s="63">
        <f t="shared" si="21"/>
        <v>0</v>
      </c>
      <c r="D108" s="47">
        <f>COUNTIFS('Self-Assessment_Cases'!$E$4:$E$657,"PS-7",'Self-Assessment_Cases'!$I4:$I657,"In Progress - Administrative")</f>
        <v>0</v>
      </c>
      <c r="E108" s="64">
        <f t="shared" si="22"/>
        <v>0</v>
      </c>
      <c r="F108" s="62">
        <f>COUNTIFS('Self-Assessment_Cases'!$E$4:$E$657,"PS-7",'Self-Assessment_Cases'!$I4:$I657,"In Progress - Configuration")</f>
        <v>0</v>
      </c>
      <c r="G108" s="65">
        <f t="shared" si="23"/>
        <v>0</v>
      </c>
      <c r="H108" s="48">
        <f>COUNTIFS('Self-Assessment_Cases'!$E$4:$E$657,"PS-7",'Self-Assessment_Cases'!$I4:$I657,"In Progress - Installation/Upgrade")</f>
        <v>0</v>
      </c>
      <c r="I108" s="66">
        <f t="shared" si="24"/>
        <v>0</v>
      </c>
      <c r="J108" s="49">
        <f>COUNTIFS('Self-Assessment_Cases'!$E$4:$E$657,"PS-7",'Self-Assessment_Cases'!$I4:$I657,"Not Implemented - Compensating Control")</f>
        <v>0</v>
      </c>
      <c r="K108" s="67">
        <f t="shared" si="25"/>
        <v>0</v>
      </c>
      <c r="L108" s="50">
        <f>COUNTIFS('Self-Assessment_Cases'!$E$4:$E$657,"PS-7",'Self-Assessment_Cases'!$I4:$I657,"Not Implemented - Risk Negligible")</f>
        <v>0</v>
      </c>
      <c r="M108" s="56">
        <f t="shared" si="26"/>
        <v>0</v>
      </c>
      <c r="N108" s="57">
        <f>COUNTIFS('Self-Assessment_Cases'!$E$4:$E$657,"PS-7",'Self-Assessment_Cases'!$I4:$I657,"Not Implemented - Risk Accepted")</f>
        <v>0</v>
      </c>
      <c r="O108" s="57">
        <f t="shared" si="27"/>
        <v>0</v>
      </c>
      <c r="P108" s="58">
        <f>COUNTIFS('Self-Assessment_Cases'!$E$4:$E$657,"PS-7",'Self-Assessment_Cases'!$I4:$I657,"Not Implemented - Planned")</f>
        <v>0</v>
      </c>
      <c r="Q108" s="58">
        <f t="shared" si="28"/>
        <v>0</v>
      </c>
      <c r="R108" s="59">
        <f>COUNTIFS('Self-Assessment_Cases'!$E$4:$E$657,"PS-7",'Self-Assessment_Cases'!$I4:$I657,"Not Implemented - Unplanned")</f>
        <v>0</v>
      </c>
      <c r="S108" s="59">
        <f t="shared" si="29"/>
        <v>0</v>
      </c>
      <c r="T108" s="60">
        <f>COUNTIFS('Self-Assessment_Cases'!$E$4:$E$657,"PS-7",'Self-Assessment_Cases'!$I4:$I657,"Not Applicable")</f>
        <v>0</v>
      </c>
      <c r="U108" s="61"/>
      <c r="V108" s="68" t="e">
        <f t="shared" si="30"/>
        <v>#DIV/0!</v>
      </c>
      <c r="W108" s="44">
        <f t="shared" si="31"/>
        <v>0</v>
      </c>
    </row>
    <row r="109" spans="1:23" ht="15" customHeight="1" x14ac:dyDescent="0.2">
      <c r="A109" s="45" t="s">
        <v>167</v>
      </c>
      <c r="B109" s="46">
        <f>COUNTIFS('Self-Assessment_Cases'!$E$4:$E$657,"PS-8",'Self-Assessment_Cases'!$I4:$I657,"Implemented")</f>
        <v>0</v>
      </c>
      <c r="C109" s="63">
        <f t="shared" si="21"/>
        <v>0</v>
      </c>
      <c r="D109" s="47">
        <f>COUNTIFS('Self-Assessment_Cases'!$E$4:$E$657,"PS-8",'Self-Assessment_Cases'!$I4:$I657,"In Progress - Administrative")</f>
        <v>0</v>
      </c>
      <c r="E109" s="64">
        <f t="shared" si="22"/>
        <v>0</v>
      </c>
      <c r="F109" s="62">
        <f>COUNTIFS('Self-Assessment_Cases'!$E$4:$E$657,"PS-8",'Self-Assessment_Cases'!$I4:$I657,"In Progress - Configuration")</f>
        <v>0</v>
      </c>
      <c r="G109" s="65">
        <f t="shared" si="23"/>
        <v>0</v>
      </c>
      <c r="H109" s="48">
        <f>COUNTIFS('Self-Assessment_Cases'!$E$4:$E$657,"PS-8",'Self-Assessment_Cases'!$I4:$I657,"In Progress - Installation/Upgrade")</f>
        <v>0</v>
      </c>
      <c r="I109" s="66">
        <f t="shared" si="24"/>
        <v>0</v>
      </c>
      <c r="J109" s="49">
        <f>COUNTIFS('Self-Assessment_Cases'!$E$4:$E$657,"PS-8",'Self-Assessment_Cases'!$I4:$I657,"Not Implemented - Compensating Control")</f>
        <v>0</v>
      </c>
      <c r="K109" s="67">
        <f t="shared" si="25"/>
        <v>0</v>
      </c>
      <c r="L109" s="50">
        <f>COUNTIFS('Self-Assessment_Cases'!$E$4:$E$657,"PS-8",'Self-Assessment_Cases'!$I4:$I657,"Not Implemented - Risk Negligible")</f>
        <v>0</v>
      </c>
      <c r="M109" s="56">
        <f t="shared" si="26"/>
        <v>0</v>
      </c>
      <c r="N109" s="57">
        <f>COUNTIFS('Self-Assessment_Cases'!$E$4:$E$657,"PS-8",'Self-Assessment_Cases'!$I4:$I657,"Not Implemented - Risk Accepted")</f>
        <v>0</v>
      </c>
      <c r="O109" s="57">
        <f t="shared" si="27"/>
        <v>0</v>
      </c>
      <c r="P109" s="58">
        <f>COUNTIFS('Self-Assessment_Cases'!$E$4:$E$657,"PS-8",'Self-Assessment_Cases'!$I4:$I657,"Not Implemented - Planned")</f>
        <v>0</v>
      </c>
      <c r="Q109" s="58">
        <f t="shared" si="28"/>
        <v>0</v>
      </c>
      <c r="R109" s="59">
        <f>COUNTIFS('Self-Assessment_Cases'!$E$4:$E$657,"PS-8",'Self-Assessment_Cases'!$I4:$I657,"Not Implemented - Unplanned")</f>
        <v>0</v>
      </c>
      <c r="S109" s="59">
        <f t="shared" si="29"/>
        <v>0</v>
      </c>
      <c r="T109" s="60">
        <f>COUNTIFS('Self-Assessment_Cases'!$E$4:$E$657,"PS-8",'Self-Assessment_Cases'!$I4:$I657,"Not Applicable")</f>
        <v>0</v>
      </c>
      <c r="U109" s="61"/>
      <c r="V109" s="68" t="e">
        <f t="shared" si="30"/>
        <v>#DIV/0!</v>
      </c>
      <c r="W109" s="44">
        <f t="shared" si="31"/>
        <v>0</v>
      </c>
    </row>
    <row r="110" spans="1:23" ht="15" customHeight="1" x14ac:dyDescent="0.2">
      <c r="A110" s="45" t="s">
        <v>540</v>
      </c>
      <c r="B110" s="46">
        <f>COUNTIFS('Self-Assessment_Cases'!$E$4:$E$657,"PS-9",'Self-Assessment_Cases'!$I4:$I657,"Implemented")</f>
        <v>0</v>
      </c>
      <c r="C110" s="63">
        <f t="shared" si="21"/>
        <v>0</v>
      </c>
      <c r="D110" s="47">
        <f>COUNTIFS('Self-Assessment_Cases'!$E$4:$E$657,"PS-9",'Self-Assessment_Cases'!$I4:$I657,"In Progress - Administrative")</f>
        <v>0</v>
      </c>
      <c r="E110" s="64">
        <f t="shared" si="22"/>
        <v>0</v>
      </c>
      <c r="F110" s="62">
        <f>COUNTIFS('Self-Assessment_Cases'!$E$4:$E$657,"PS-9",'Self-Assessment_Cases'!$I4:$I657,"In Progress - Configuration")</f>
        <v>0</v>
      </c>
      <c r="G110" s="65">
        <f t="shared" si="23"/>
        <v>0</v>
      </c>
      <c r="H110" s="48">
        <f>COUNTIFS('Self-Assessment_Cases'!$E$4:$E$657,"PS-9",'Self-Assessment_Cases'!$I4:$I657,"In Progress - Installation/Upgrade")</f>
        <v>0</v>
      </c>
      <c r="I110" s="66">
        <f t="shared" si="24"/>
        <v>0</v>
      </c>
      <c r="J110" s="49">
        <f>COUNTIFS('Self-Assessment_Cases'!$E$4:$E$657,"PS-9",'Self-Assessment_Cases'!$I4:$I657,"Not Implemented - Compensating Control")</f>
        <v>0</v>
      </c>
      <c r="K110" s="67">
        <f t="shared" si="25"/>
        <v>0</v>
      </c>
      <c r="L110" s="50">
        <f>COUNTIFS('Self-Assessment_Cases'!$E$4:$E$657,"PS-9",'Self-Assessment_Cases'!$I4:$I657,"Not Implemented - Risk Negligible")</f>
        <v>0</v>
      </c>
      <c r="M110" s="56">
        <f t="shared" si="26"/>
        <v>0</v>
      </c>
      <c r="N110" s="57">
        <f>COUNTIFS('Self-Assessment_Cases'!$E$4:$E$657,"PS-9",'Self-Assessment_Cases'!$I4:$I657,"Not Implemented - Risk Accepted")</f>
        <v>0</v>
      </c>
      <c r="O110" s="57">
        <f t="shared" si="27"/>
        <v>0</v>
      </c>
      <c r="P110" s="58">
        <f>COUNTIFS('Self-Assessment_Cases'!$E$4:$E$657,"PS-9",'Self-Assessment_Cases'!$I4:$I657,"Not Implemented - Planned")</f>
        <v>0</v>
      </c>
      <c r="Q110" s="58">
        <f t="shared" si="28"/>
        <v>0</v>
      </c>
      <c r="R110" s="59">
        <f>COUNTIFS('Self-Assessment_Cases'!$E$4:$E$657,"PS-9",'Self-Assessment_Cases'!$I4:$I657,"Not Implemented - Unplanned")</f>
        <v>0</v>
      </c>
      <c r="S110" s="59">
        <f t="shared" si="29"/>
        <v>0</v>
      </c>
      <c r="T110" s="60">
        <f>COUNTIFS('Self-Assessment_Cases'!$E$4:$E$657,"PS-9",'Self-Assessment_Cases'!$I4:$I657,"Not Applicable")</f>
        <v>0</v>
      </c>
      <c r="U110" s="61"/>
      <c r="V110" s="68" t="e">
        <f t="shared" si="30"/>
        <v>#DIV/0!</v>
      </c>
      <c r="W110" s="44">
        <f t="shared" si="31"/>
        <v>0</v>
      </c>
    </row>
    <row r="111" spans="1:23" x14ac:dyDescent="0.2">
      <c r="A111" s="45" t="s">
        <v>169</v>
      </c>
      <c r="B111" s="46">
        <f>COUNTIFS('Self-Assessment_Cases'!$E$4:$E$657,"RA-1",'Self-Assessment_Cases'!$I4:$I657,"Implemented")</f>
        <v>0</v>
      </c>
      <c r="C111" s="63">
        <f t="shared" si="21"/>
        <v>0</v>
      </c>
      <c r="D111" s="47">
        <f>COUNTIFS('Self-Assessment_Cases'!$E$4:$E$657,"RA-1",'Self-Assessment_Cases'!$I4:$I657,"In Progress - Administrative")</f>
        <v>0</v>
      </c>
      <c r="E111" s="64">
        <f t="shared" si="22"/>
        <v>0</v>
      </c>
      <c r="F111" s="62">
        <f>COUNTIFS('Self-Assessment_Cases'!$E$4:$E$657,"RA-1",'Self-Assessment_Cases'!$I4:$I657,"In Progress - Configuration")</f>
        <v>0</v>
      </c>
      <c r="G111" s="65">
        <f t="shared" si="23"/>
        <v>0</v>
      </c>
      <c r="H111" s="48">
        <f>COUNTIFS('Self-Assessment_Cases'!$E$4:$E$657,"RA-1",'Self-Assessment_Cases'!$I4:$I657,"In Progress - Installation/Upgrade")</f>
        <v>0</v>
      </c>
      <c r="I111" s="66">
        <f t="shared" si="24"/>
        <v>0</v>
      </c>
      <c r="J111" s="49">
        <f>COUNTIFS('Self-Assessment_Cases'!$E$4:$E$657,"RA-1",'Self-Assessment_Cases'!$I4:$I657,"Not Implemented - Compensating Control")</f>
        <v>0</v>
      </c>
      <c r="K111" s="67">
        <f t="shared" si="25"/>
        <v>0</v>
      </c>
      <c r="L111" s="50">
        <f>COUNTIFS('Self-Assessment_Cases'!$E$4:$E$657,"RA-1",'Self-Assessment_Cases'!$I4:$I657,"Not Implemented - Risk Negligible")</f>
        <v>0</v>
      </c>
      <c r="M111" s="56">
        <f t="shared" si="26"/>
        <v>0</v>
      </c>
      <c r="N111" s="57">
        <f>COUNTIFS('Self-Assessment_Cases'!$E$4:$E$657,"RA-1",'Self-Assessment_Cases'!$I4:$I657,"Not Implemented - Risk Accepted")</f>
        <v>0</v>
      </c>
      <c r="O111" s="57">
        <f t="shared" si="27"/>
        <v>0</v>
      </c>
      <c r="P111" s="58">
        <f>COUNTIFS('Self-Assessment_Cases'!$E$4:$E$657,"RA-1",'Self-Assessment_Cases'!$I4:$I657,"Not Implemented - Planned")</f>
        <v>0</v>
      </c>
      <c r="Q111" s="58">
        <f t="shared" si="28"/>
        <v>0</v>
      </c>
      <c r="R111" s="59">
        <f>COUNTIFS('Self-Assessment_Cases'!$E$4:$E$657,"RA-1",'Self-Assessment_Cases'!$I4:$I657,"Not Implemented - Unplanned")</f>
        <v>0</v>
      </c>
      <c r="S111" s="59">
        <f t="shared" si="29"/>
        <v>0</v>
      </c>
      <c r="T111" s="60">
        <f>COUNTIFS('Self-Assessment_Cases'!$E$4:$E$657,"RA-1",'Self-Assessment_Cases'!$I4:$I657,"Not Applicable")</f>
        <v>0</v>
      </c>
      <c r="U111" s="61"/>
      <c r="V111" s="68" t="e">
        <f t="shared" si="30"/>
        <v>#DIV/0!</v>
      </c>
      <c r="W111" s="44">
        <f t="shared" si="31"/>
        <v>0</v>
      </c>
    </row>
    <row r="112" spans="1:23" x14ac:dyDescent="0.2">
      <c r="A112" s="45" t="s">
        <v>171</v>
      </c>
      <c r="B112" s="46">
        <f>COUNTIFS('Self-Assessment_Cases'!$E$4:$E$657,"RA-2",'Self-Assessment_Cases'!$I4:$I657,"Implemented")</f>
        <v>0</v>
      </c>
      <c r="C112" s="63">
        <f t="shared" si="21"/>
        <v>0</v>
      </c>
      <c r="D112" s="47">
        <f>COUNTIFS('Self-Assessment_Cases'!$E$4:$E$657,"RA-2",'Self-Assessment_Cases'!$I4:$I657,"In Progress - Administrative")</f>
        <v>0</v>
      </c>
      <c r="E112" s="64">
        <f t="shared" si="22"/>
        <v>0</v>
      </c>
      <c r="F112" s="62">
        <f>COUNTIFS('Self-Assessment_Cases'!$E$4:$E$657,"RA-2",'Self-Assessment_Cases'!$I4:$I657,"In Progress - Configuration")</f>
        <v>0</v>
      </c>
      <c r="G112" s="65">
        <f t="shared" si="23"/>
        <v>0</v>
      </c>
      <c r="H112" s="48">
        <f>COUNTIFS('Self-Assessment_Cases'!$E$4:$E$657,"RA-2",'Self-Assessment_Cases'!$I4:$I657,"In Progress - Installation/Upgrade")</f>
        <v>0</v>
      </c>
      <c r="I112" s="66">
        <f t="shared" si="24"/>
        <v>0</v>
      </c>
      <c r="J112" s="49">
        <f>COUNTIFS('Self-Assessment_Cases'!$E$4:$E$657,"RA-2",'Self-Assessment_Cases'!$I4:$I657,"Not Implemented - Compensating Control")</f>
        <v>0</v>
      </c>
      <c r="K112" s="67">
        <f t="shared" si="25"/>
        <v>0</v>
      </c>
      <c r="L112" s="50">
        <f>COUNTIFS('Self-Assessment_Cases'!$E$4:$E$657,"RA-2",'Self-Assessment_Cases'!$I4:$I657,"Not Implemented - Risk Negligible")</f>
        <v>0</v>
      </c>
      <c r="M112" s="56">
        <f t="shared" si="26"/>
        <v>0</v>
      </c>
      <c r="N112" s="57">
        <f>COUNTIFS('Self-Assessment_Cases'!$E$4:$E$657,"RA-2",'Self-Assessment_Cases'!$I4:$I657,"Not Implemented - Risk Accepted")</f>
        <v>0</v>
      </c>
      <c r="O112" s="57">
        <f t="shared" si="27"/>
        <v>0</v>
      </c>
      <c r="P112" s="58">
        <f>COUNTIFS('Self-Assessment_Cases'!$E$4:$E$657,"RA-2",'Self-Assessment_Cases'!$I4:$I657,"Not Implemented - Planned")</f>
        <v>0</v>
      </c>
      <c r="Q112" s="58">
        <f t="shared" si="28"/>
        <v>0</v>
      </c>
      <c r="R112" s="59">
        <f>COUNTIFS('Self-Assessment_Cases'!$E$4:$E$657,"RA-2",'Self-Assessment_Cases'!$I4:$I657,"Not Implemented - Unplanned")</f>
        <v>0</v>
      </c>
      <c r="S112" s="59">
        <f t="shared" si="29"/>
        <v>0</v>
      </c>
      <c r="T112" s="60">
        <f>COUNTIFS('Self-Assessment_Cases'!$E$4:$E$657,"RA-2",'Self-Assessment_Cases'!$I4:$I657,"Not Applicable")</f>
        <v>0</v>
      </c>
      <c r="U112" s="61"/>
      <c r="V112" s="68" t="e">
        <f t="shared" si="30"/>
        <v>#DIV/0!</v>
      </c>
      <c r="W112" s="44">
        <f t="shared" si="31"/>
        <v>0</v>
      </c>
    </row>
    <row r="113" spans="1:23" x14ac:dyDescent="0.2">
      <c r="A113" s="45" t="s">
        <v>173</v>
      </c>
      <c r="B113" s="46">
        <f>COUNTIFS('Self-Assessment_Cases'!$E$4:$E$657,"RA-3",'Self-Assessment_Cases'!$I4:$I657,"Implemented")</f>
        <v>0</v>
      </c>
      <c r="C113" s="63">
        <f t="shared" si="21"/>
        <v>0</v>
      </c>
      <c r="D113" s="47">
        <f>COUNTIFS('Self-Assessment_Cases'!$E$4:$E$657,"RA-3",'Self-Assessment_Cases'!$I4:$I657,"In Progress - Administrative")</f>
        <v>0</v>
      </c>
      <c r="E113" s="64">
        <f t="shared" si="22"/>
        <v>0</v>
      </c>
      <c r="F113" s="62">
        <f>COUNTIFS('Self-Assessment_Cases'!$E$4:$E$657,"RA-3",'Self-Assessment_Cases'!$I4:$I657,"In Progress - Configuration")</f>
        <v>0</v>
      </c>
      <c r="G113" s="65">
        <f t="shared" si="23"/>
        <v>0</v>
      </c>
      <c r="H113" s="48">
        <f>COUNTIFS('Self-Assessment_Cases'!$E$4:$E$657,"RA-3",'Self-Assessment_Cases'!$I4:$I657,"In Progress - Installation/Upgrade")</f>
        <v>0</v>
      </c>
      <c r="I113" s="66">
        <f t="shared" si="24"/>
        <v>0</v>
      </c>
      <c r="J113" s="49">
        <f>COUNTIFS('Self-Assessment_Cases'!$E$4:$E$657,"RA-3",'Self-Assessment_Cases'!$I4:$I657,"Not Implemented - Compensating Control")</f>
        <v>0</v>
      </c>
      <c r="K113" s="67">
        <f t="shared" si="25"/>
        <v>0</v>
      </c>
      <c r="L113" s="50">
        <f>COUNTIFS('Self-Assessment_Cases'!$E$4:$E$657,"RA-3",'Self-Assessment_Cases'!$I4:$I657,"Not Implemented - Risk Negligible")</f>
        <v>0</v>
      </c>
      <c r="M113" s="56">
        <f t="shared" si="26"/>
        <v>0</v>
      </c>
      <c r="N113" s="57">
        <f>COUNTIFS('Self-Assessment_Cases'!$E$4:$E$657,"RA-3",'Self-Assessment_Cases'!$I4:$I657,"Not Implemented - Risk Accepted")</f>
        <v>0</v>
      </c>
      <c r="O113" s="57">
        <f t="shared" si="27"/>
        <v>0</v>
      </c>
      <c r="P113" s="58">
        <f>COUNTIFS('Self-Assessment_Cases'!$E$4:$E$657,"RA-3",'Self-Assessment_Cases'!$I4:$I657,"Not Implemented - Planned")</f>
        <v>0</v>
      </c>
      <c r="Q113" s="58">
        <f t="shared" si="28"/>
        <v>0</v>
      </c>
      <c r="R113" s="59">
        <f>COUNTIFS('Self-Assessment_Cases'!$E$4:$E$657,"RA-3",'Self-Assessment_Cases'!$I4:$I657,"Not Implemented - Unplanned")</f>
        <v>0</v>
      </c>
      <c r="S113" s="59">
        <f t="shared" si="29"/>
        <v>0</v>
      </c>
      <c r="T113" s="60">
        <f>COUNTIFS('Self-Assessment_Cases'!$E$4:$E$657,"RA-3",'Self-Assessment_Cases'!$I4:$I657,"Not Applicable")</f>
        <v>0</v>
      </c>
      <c r="U113" s="61"/>
      <c r="V113" s="68" t="e">
        <f t="shared" si="30"/>
        <v>#DIV/0!</v>
      </c>
      <c r="W113" s="44">
        <f t="shared" si="31"/>
        <v>0</v>
      </c>
    </row>
    <row r="114" spans="1:23" x14ac:dyDescent="0.2">
      <c r="A114" s="45" t="s">
        <v>175</v>
      </c>
      <c r="B114" s="46">
        <f>COUNTIFS('Self-Assessment_Cases'!$E$4:$E$657,"RA-5",'Self-Assessment_Cases'!$I4:$I657,"Implemented")</f>
        <v>0</v>
      </c>
      <c r="C114" s="63">
        <f t="shared" si="21"/>
        <v>0</v>
      </c>
      <c r="D114" s="47">
        <f>COUNTIFS('Self-Assessment_Cases'!$E$4:$E$657,"RA-5",'Self-Assessment_Cases'!$I4:$I657,"In Progress - Administrative")</f>
        <v>0</v>
      </c>
      <c r="E114" s="64">
        <f t="shared" si="22"/>
        <v>0</v>
      </c>
      <c r="F114" s="62">
        <f>COUNTIFS('Self-Assessment_Cases'!$E$4:$E$657,"RA-5",'Self-Assessment_Cases'!$I4:$I657,"In Progress - Configuration")</f>
        <v>0</v>
      </c>
      <c r="G114" s="65">
        <f t="shared" si="23"/>
        <v>0</v>
      </c>
      <c r="H114" s="48">
        <f>COUNTIFS('Self-Assessment_Cases'!$E$4:$E$657,"RA-5",'Self-Assessment_Cases'!$I4:$I657,"In Progress - Installation/Upgrade")</f>
        <v>0</v>
      </c>
      <c r="I114" s="66">
        <f t="shared" si="24"/>
        <v>0</v>
      </c>
      <c r="J114" s="49">
        <f>COUNTIFS('Self-Assessment_Cases'!$E$4:$E$657,"RA-5",'Self-Assessment_Cases'!$I4:$I657,"Not Implemented - Compensating Control")</f>
        <v>0</v>
      </c>
      <c r="K114" s="67">
        <f t="shared" si="25"/>
        <v>0</v>
      </c>
      <c r="L114" s="50">
        <f>COUNTIFS('Self-Assessment_Cases'!$E$4:$E$657,"RA-5",'Self-Assessment_Cases'!$I4:$I657,"Not Implemented - Risk Negligible")</f>
        <v>0</v>
      </c>
      <c r="M114" s="56">
        <f t="shared" si="26"/>
        <v>0</v>
      </c>
      <c r="N114" s="57">
        <f>COUNTIFS('Self-Assessment_Cases'!$E$4:$E$657,"RA-5",'Self-Assessment_Cases'!$I4:$I657,"Not Implemented - Risk Accepted")</f>
        <v>0</v>
      </c>
      <c r="O114" s="57">
        <f t="shared" si="27"/>
        <v>0</v>
      </c>
      <c r="P114" s="58">
        <f>COUNTIFS('Self-Assessment_Cases'!$E$4:$E$657,"RA-5",'Self-Assessment_Cases'!$I4:$I657,"Not Implemented - Planned")</f>
        <v>0</v>
      </c>
      <c r="Q114" s="58">
        <f t="shared" si="28"/>
        <v>0</v>
      </c>
      <c r="R114" s="59">
        <f>COUNTIFS('Self-Assessment_Cases'!$E$4:$E$657,"RA-5",'Self-Assessment_Cases'!$I4:$I657,"Not Implemented - Unplanned")</f>
        <v>0</v>
      </c>
      <c r="S114" s="59">
        <f t="shared" si="29"/>
        <v>0</v>
      </c>
      <c r="T114" s="60">
        <f>COUNTIFS('Self-Assessment_Cases'!$E$4:$E$657,"RA-5",'Self-Assessment_Cases'!$I4:$I657,"Not Applicable")</f>
        <v>0</v>
      </c>
      <c r="U114" s="61"/>
      <c r="V114" s="68" t="e">
        <f t="shared" si="30"/>
        <v>#DIV/0!</v>
      </c>
      <c r="W114" s="44">
        <f t="shared" si="31"/>
        <v>0</v>
      </c>
    </row>
    <row r="115" spans="1:23" ht="15" customHeight="1" x14ac:dyDescent="0.2">
      <c r="A115" s="45" t="s">
        <v>177</v>
      </c>
      <c r="B115" s="46">
        <f>COUNTIFS('Self-Assessment_Cases'!$E$4:$E$657,"SA-1",'Self-Assessment_Cases'!$I4:$I657,"Implemented")</f>
        <v>0</v>
      </c>
      <c r="C115" s="63">
        <f t="shared" si="21"/>
        <v>0</v>
      </c>
      <c r="D115" s="47">
        <f>COUNTIFS('Self-Assessment_Cases'!$E$4:$E$657,"SA-1",'Self-Assessment_Cases'!$I4:$I657,"In Progress - Administrative")</f>
        <v>0</v>
      </c>
      <c r="E115" s="64">
        <f t="shared" si="22"/>
        <v>0</v>
      </c>
      <c r="F115" s="62">
        <f>COUNTIFS('Self-Assessment_Cases'!$E$4:$E$657,"SA-1",'Self-Assessment_Cases'!$I4:$I657,"In Progress - Configuration")</f>
        <v>0</v>
      </c>
      <c r="G115" s="65">
        <f t="shared" si="23"/>
        <v>0</v>
      </c>
      <c r="H115" s="48">
        <f>COUNTIFS('Self-Assessment_Cases'!$E$4:$E$657,"SA-1",'Self-Assessment_Cases'!$I4:$I657,"In Progress - Installation/Upgrade")</f>
        <v>0</v>
      </c>
      <c r="I115" s="66">
        <f t="shared" si="24"/>
        <v>0</v>
      </c>
      <c r="J115" s="49">
        <f>COUNTIFS('Self-Assessment_Cases'!$E$4:$E$657,"SA-1",'Self-Assessment_Cases'!$I4:$I657,"Not Implemented - Compensating Control")</f>
        <v>0</v>
      </c>
      <c r="K115" s="67">
        <f t="shared" si="25"/>
        <v>0</v>
      </c>
      <c r="L115" s="50">
        <f>COUNTIFS('Self-Assessment_Cases'!$E$4:$E$657,"SA-1",'Self-Assessment_Cases'!$I4:$I657,"Not Implemented - Risk Negligible")</f>
        <v>0</v>
      </c>
      <c r="M115" s="56">
        <f t="shared" si="26"/>
        <v>0</v>
      </c>
      <c r="N115" s="57">
        <f>COUNTIFS('Self-Assessment_Cases'!$E$4:$E$657,"SA-1",'Self-Assessment_Cases'!$I4:$I657,"Not Implemented - Risk Accepted")</f>
        <v>0</v>
      </c>
      <c r="O115" s="57">
        <f t="shared" si="27"/>
        <v>0</v>
      </c>
      <c r="P115" s="58">
        <f>COUNTIFS('Self-Assessment_Cases'!$E$4:$E$657,"SA-1",'Self-Assessment_Cases'!$I4:$I657,"Not Implemented - Planned")</f>
        <v>0</v>
      </c>
      <c r="Q115" s="58">
        <f t="shared" si="28"/>
        <v>0</v>
      </c>
      <c r="R115" s="59">
        <f>COUNTIFS('Self-Assessment_Cases'!$E$4:$E$657,"SA-1",'Self-Assessment_Cases'!$I4:$I657,"Not Implemented - Unplanned")</f>
        <v>0</v>
      </c>
      <c r="S115" s="59">
        <f t="shared" si="29"/>
        <v>0</v>
      </c>
      <c r="T115" s="60">
        <f>COUNTIFS('Self-Assessment_Cases'!$E$4:$E$657,"SA-1",'Self-Assessment_Cases'!$I4:$I657,"Not Applicable")</f>
        <v>0</v>
      </c>
      <c r="U115" s="61"/>
      <c r="V115" s="68" t="e">
        <f t="shared" si="30"/>
        <v>#DIV/0!</v>
      </c>
      <c r="W115" s="44">
        <f t="shared" si="31"/>
        <v>0</v>
      </c>
    </row>
    <row r="116" spans="1:23" ht="15" customHeight="1" x14ac:dyDescent="0.2">
      <c r="A116" s="45" t="s">
        <v>189</v>
      </c>
      <c r="B116" s="46">
        <f>COUNTIFS('Self-Assessment_Cases'!$E$4:$E$657,"SA-10",'Self-Assessment_Cases'!$I4:$I657,"Implemented")</f>
        <v>0</v>
      </c>
      <c r="C116" s="63">
        <f t="shared" si="21"/>
        <v>0</v>
      </c>
      <c r="D116" s="47">
        <f>COUNTIFS('Self-Assessment_Cases'!$E$4:$E$657,"SA-10",'Self-Assessment_Cases'!$I4:$I657,"In Progress - Administrative")</f>
        <v>0</v>
      </c>
      <c r="E116" s="64">
        <f t="shared" si="22"/>
        <v>0</v>
      </c>
      <c r="F116" s="62">
        <f>COUNTIFS('Self-Assessment_Cases'!$E$4:$E$657,"SA-10",'Self-Assessment_Cases'!$I4:$I657,"In Progress - Configuration")</f>
        <v>0</v>
      </c>
      <c r="G116" s="65">
        <f t="shared" si="23"/>
        <v>0</v>
      </c>
      <c r="H116" s="48">
        <f>COUNTIFS('Self-Assessment_Cases'!$E$4:$E$657,"SA-10",'Self-Assessment_Cases'!$I4:$I657,"In Progress - Installation/Upgrade")</f>
        <v>0</v>
      </c>
      <c r="I116" s="66">
        <f t="shared" si="24"/>
        <v>0</v>
      </c>
      <c r="J116" s="49">
        <f>COUNTIFS('Self-Assessment_Cases'!$E$4:$E$657,"SA-10",'Self-Assessment_Cases'!$I4:$I657,"Not Implemented - Compensating Control")</f>
        <v>0</v>
      </c>
      <c r="K116" s="67">
        <f t="shared" si="25"/>
        <v>0</v>
      </c>
      <c r="L116" s="50">
        <f>COUNTIFS('Self-Assessment_Cases'!$E$4:$E$657,"SA-10",'Self-Assessment_Cases'!$I4:$I657,"Not Implemented - Risk Negligible")</f>
        <v>0</v>
      </c>
      <c r="M116" s="56">
        <f t="shared" si="26"/>
        <v>0</v>
      </c>
      <c r="N116" s="57">
        <f>COUNTIFS('Self-Assessment_Cases'!$E$4:$E$657,"SA-10",'Self-Assessment_Cases'!$I4:$I657,"Not Implemented - Risk Accepted")</f>
        <v>0</v>
      </c>
      <c r="O116" s="57">
        <f t="shared" si="27"/>
        <v>0</v>
      </c>
      <c r="P116" s="58">
        <f>COUNTIFS('Self-Assessment_Cases'!$E$4:$E$657,"SA-10",'Self-Assessment_Cases'!$I4:$I657,"Not Implemented - Planned")</f>
        <v>0</v>
      </c>
      <c r="Q116" s="58">
        <f t="shared" si="28"/>
        <v>0</v>
      </c>
      <c r="R116" s="59">
        <f>COUNTIFS('Self-Assessment_Cases'!$E$4:$E$657,"SA-10",'Self-Assessment_Cases'!$I4:$I657,"Not Implemented - Unplanned")</f>
        <v>0</v>
      </c>
      <c r="S116" s="59">
        <f t="shared" si="29"/>
        <v>0</v>
      </c>
      <c r="T116" s="60">
        <f>COUNTIFS('Self-Assessment_Cases'!$E$4:$E$657,"SA-10",'Self-Assessment_Cases'!$I4:$I657,"Not Applicable")</f>
        <v>0</v>
      </c>
      <c r="U116" s="61"/>
      <c r="V116" s="68" t="e">
        <f t="shared" si="30"/>
        <v>#DIV/0!</v>
      </c>
      <c r="W116" s="44">
        <f t="shared" si="31"/>
        <v>0</v>
      </c>
    </row>
    <row r="117" spans="1:23" ht="15" customHeight="1" x14ac:dyDescent="0.2">
      <c r="A117" s="45" t="s">
        <v>191</v>
      </c>
      <c r="B117" s="46">
        <f>COUNTIFS('Self-Assessment_Cases'!$E$4:$E$657,"SA-11",'Self-Assessment_Cases'!$I4:$I657,"Implemented")</f>
        <v>0</v>
      </c>
      <c r="C117" s="63">
        <f t="shared" si="21"/>
        <v>0</v>
      </c>
      <c r="D117" s="47">
        <f>COUNTIFS('Self-Assessment_Cases'!$E$4:$E$657,"SA-11",'Self-Assessment_Cases'!$I4:$I657,"In Progress - Administrative")</f>
        <v>0</v>
      </c>
      <c r="E117" s="64">
        <f t="shared" si="22"/>
        <v>0</v>
      </c>
      <c r="F117" s="62">
        <f>COUNTIFS('Self-Assessment_Cases'!$E$4:$E$657,"SA-11",'Self-Assessment_Cases'!$I4:$I657,"In Progress - Configuration")</f>
        <v>0</v>
      </c>
      <c r="G117" s="65">
        <f t="shared" si="23"/>
        <v>0</v>
      </c>
      <c r="H117" s="48">
        <f>COUNTIFS('Self-Assessment_Cases'!$E$4:$E$657,"SA-11",'Self-Assessment_Cases'!$I4:$I657,"In Progress - Installation/Upgrade")</f>
        <v>0</v>
      </c>
      <c r="I117" s="66">
        <f t="shared" si="24"/>
        <v>0</v>
      </c>
      <c r="J117" s="49">
        <f>COUNTIFS('Self-Assessment_Cases'!$E$4:$E$657,"SA-11",'Self-Assessment_Cases'!$I4:$I657,"Not Implemented - Compensating Control")</f>
        <v>0</v>
      </c>
      <c r="K117" s="67">
        <f t="shared" si="25"/>
        <v>0</v>
      </c>
      <c r="L117" s="50">
        <f>COUNTIFS('Self-Assessment_Cases'!$E$4:$E$657,"SA-11",'Self-Assessment_Cases'!$I4:$I657,"Not Implemented - Risk Negligible")</f>
        <v>0</v>
      </c>
      <c r="M117" s="56">
        <f t="shared" si="26"/>
        <v>0</v>
      </c>
      <c r="N117" s="57">
        <f>COUNTIFS('Self-Assessment_Cases'!$E$4:$E$657,"SA-11",'Self-Assessment_Cases'!$I4:$I657,"Not Implemented - Risk Accepted")</f>
        <v>0</v>
      </c>
      <c r="O117" s="57">
        <f t="shared" si="27"/>
        <v>0</v>
      </c>
      <c r="P117" s="58">
        <f>COUNTIFS('Self-Assessment_Cases'!$E$4:$E$657,"SA-11",'Self-Assessment_Cases'!$I4:$I657,"Not Implemented - Planned")</f>
        <v>0</v>
      </c>
      <c r="Q117" s="58">
        <f t="shared" si="28"/>
        <v>0</v>
      </c>
      <c r="R117" s="59">
        <f>COUNTIFS('Self-Assessment_Cases'!$E$4:$E$657,"SA-11",'Self-Assessment_Cases'!$I4:$I657,"Not Implemented - Unplanned")</f>
        <v>0</v>
      </c>
      <c r="S117" s="59">
        <f t="shared" si="29"/>
        <v>0</v>
      </c>
      <c r="T117" s="60">
        <f>COUNTIFS('Self-Assessment_Cases'!$E$4:$E$657,"SA-11",'Self-Assessment_Cases'!$I4:$I657,"Not Applicable")</f>
        <v>0</v>
      </c>
      <c r="U117" s="61"/>
      <c r="V117" s="68" t="e">
        <f t="shared" si="30"/>
        <v>#DIV/0!</v>
      </c>
      <c r="W117" s="44">
        <f t="shared" si="31"/>
        <v>0</v>
      </c>
    </row>
    <row r="118" spans="1:23" ht="15" customHeight="1" x14ac:dyDescent="0.2">
      <c r="A118" s="45" t="s">
        <v>229</v>
      </c>
      <c r="B118" s="46">
        <f>COUNTIFS('Self-Assessment_Cases'!$E$4:$E$657,"SA-12",'Self-Assessment_Cases'!$I4:$I657,"Implemented")</f>
        <v>0</v>
      </c>
      <c r="C118" s="63">
        <f t="shared" si="21"/>
        <v>0</v>
      </c>
      <c r="D118" s="47">
        <f>COUNTIFS('Self-Assessment_Cases'!$E$4:$E$657,"SA-12",'Self-Assessment_Cases'!$I4:$I657,"In Progress - Administrative")</f>
        <v>0</v>
      </c>
      <c r="E118" s="64">
        <f t="shared" si="22"/>
        <v>0</v>
      </c>
      <c r="F118" s="62">
        <f>COUNTIFS('Self-Assessment_Cases'!$E$4:$E$657,"SA-12",'Self-Assessment_Cases'!$I4:$I657,"In Progress - Configuration")</f>
        <v>0</v>
      </c>
      <c r="G118" s="65">
        <f t="shared" si="23"/>
        <v>0</v>
      </c>
      <c r="H118" s="48">
        <f>COUNTIFS('Self-Assessment_Cases'!$E$4:$E$657,"SA-12",'Self-Assessment_Cases'!$I4:$I657,"In Progress - Installation/Upgrade")</f>
        <v>0</v>
      </c>
      <c r="I118" s="66">
        <f t="shared" si="24"/>
        <v>0</v>
      </c>
      <c r="J118" s="49">
        <f>COUNTIFS('Self-Assessment_Cases'!$E$4:$E$657,"SA-12",'Self-Assessment_Cases'!$I4:$I657,"Not Implemented - Compensating Control")</f>
        <v>0</v>
      </c>
      <c r="K118" s="67">
        <f t="shared" si="25"/>
        <v>0</v>
      </c>
      <c r="L118" s="50">
        <f>COUNTIFS('Self-Assessment_Cases'!$E$4:$E$657,"SA-12",'Self-Assessment_Cases'!$I4:$I657,"Not Implemented - Risk Negligible")</f>
        <v>0</v>
      </c>
      <c r="M118" s="56">
        <f t="shared" si="26"/>
        <v>0</v>
      </c>
      <c r="N118" s="57">
        <f>COUNTIFS('Self-Assessment_Cases'!$E$4:$E$657,"SA-12",'Self-Assessment_Cases'!$I4:$I657,"Not Implemented - Risk Accepted")</f>
        <v>0</v>
      </c>
      <c r="O118" s="57">
        <f t="shared" si="27"/>
        <v>0</v>
      </c>
      <c r="P118" s="58">
        <f>COUNTIFS('Self-Assessment_Cases'!$E$4:$E$657,"SA-12",'Self-Assessment_Cases'!$I4:$I657,"Not Implemented - Planned")</f>
        <v>0</v>
      </c>
      <c r="Q118" s="58">
        <f t="shared" si="28"/>
        <v>0</v>
      </c>
      <c r="R118" s="59">
        <f>COUNTIFS('Self-Assessment_Cases'!$E$4:$E$657,"SA-12",'Self-Assessment_Cases'!$I4:$I657,"Not Implemented - Unplanned")</f>
        <v>0</v>
      </c>
      <c r="S118" s="59">
        <f t="shared" si="29"/>
        <v>0</v>
      </c>
      <c r="T118" s="60">
        <f>COUNTIFS('Self-Assessment_Cases'!$E$4:$E$657,"SA-12",'Self-Assessment_Cases'!$I4:$I657,"Not Applicable")</f>
        <v>0</v>
      </c>
      <c r="U118" s="61"/>
      <c r="V118" s="68" t="e">
        <f t="shared" si="30"/>
        <v>#DIV/0!</v>
      </c>
      <c r="W118" s="44">
        <f t="shared" si="31"/>
        <v>0</v>
      </c>
    </row>
    <row r="119" spans="1:23" ht="15" customHeight="1" x14ac:dyDescent="0.2">
      <c r="A119" s="45" t="s">
        <v>230</v>
      </c>
      <c r="B119" s="46">
        <f>COUNTIFS('Self-Assessment_Cases'!$E$4:$E$657,"SA-14",'Self-Assessment_Cases'!$I4:$I657,"Implemented")</f>
        <v>0</v>
      </c>
      <c r="C119" s="63">
        <f t="shared" si="21"/>
        <v>0</v>
      </c>
      <c r="D119" s="47">
        <f>COUNTIFS('Self-Assessment_Cases'!$E$4:$E$657,"SA-14",'Self-Assessment_Cases'!$I4:$I657,"In Progress - Administrative")</f>
        <v>0</v>
      </c>
      <c r="E119" s="64">
        <f t="shared" si="22"/>
        <v>0</v>
      </c>
      <c r="F119" s="62">
        <f>COUNTIFS('Self-Assessment_Cases'!$E$4:$E$657,"SA-14",'Self-Assessment_Cases'!$I4:$I657,"In Progress - Configuration")</f>
        <v>0</v>
      </c>
      <c r="G119" s="65">
        <f t="shared" si="23"/>
        <v>0</v>
      </c>
      <c r="H119" s="48">
        <f>COUNTIFS('Self-Assessment_Cases'!$E$4:$E$657,"SA-14",'Self-Assessment_Cases'!$I4:$I657,"In Progress - Installation/Upgrade")</f>
        <v>0</v>
      </c>
      <c r="I119" s="66">
        <f t="shared" si="24"/>
        <v>0</v>
      </c>
      <c r="J119" s="49">
        <f>COUNTIFS('Self-Assessment_Cases'!$E$4:$E$657,"SA-14",'Self-Assessment_Cases'!$I4:$I657,"Not Implemented - Compensating Control")</f>
        <v>0</v>
      </c>
      <c r="K119" s="67">
        <f t="shared" si="25"/>
        <v>0</v>
      </c>
      <c r="L119" s="50">
        <f>COUNTIFS('Self-Assessment_Cases'!$E$4:$E$657,"SA-14",'Self-Assessment_Cases'!$I4:$I657,"Not Implemented - Risk Negligible")</f>
        <v>0</v>
      </c>
      <c r="M119" s="56">
        <f t="shared" si="26"/>
        <v>0</v>
      </c>
      <c r="N119" s="57">
        <f>COUNTIFS('Self-Assessment_Cases'!$E$4:$E$657,"SA-14",'Self-Assessment_Cases'!$I4:$I657,"Not Implemented - Risk Accepted")</f>
        <v>0</v>
      </c>
      <c r="O119" s="57">
        <f t="shared" si="27"/>
        <v>0</v>
      </c>
      <c r="P119" s="58">
        <f>COUNTIFS('Self-Assessment_Cases'!$E$4:$E$657,"SA-14",'Self-Assessment_Cases'!$I4:$I657,"Not Implemented - Planned")</f>
        <v>0</v>
      </c>
      <c r="Q119" s="58">
        <f t="shared" si="28"/>
        <v>0</v>
      </c>
      <c r="R119" s="59">
        <f>COUNTIFS('Self-Assessment_Cases'!$E$4:$E$657,"SA-14",'Self-Assessment_Cases'!$I4:$I657,"Not Implemented - Unplanned")</f>
        <v>0</v>
      </c>
      <c r="S119" s="59">
        <f t="shared" si="29"/>
        <v>0</v>
      </c>
      <c r="T119" s="60">
        <f>COUNTIFS('Self-Assessment_Cases'!$E$4:$E$657,"SA-14",'Self-Assessment_Cases'!$I4:$I657,"Not Applicable")</f>
        <v>0</v>
      </c>
      <c r="U119" s="61"/>
      <c r="V119" s="68" t="e">
        <f t="shared" si="30"/>
        <v>#DIV/0!</v>
      </c>
      <c r="W119" s="44">
        <f t="shared" si="31"/>
        <v>0</v>
      </c>
    </row>
    <row r="120" spans="1:23" ht="15" customHeight="1" x14ac:dyDescent="0.2">
      <c r="A120" s="45" t="s">
        <v>231</v>
      </c>
      <c r="B120" s="46">
        <f>COUNTIFS('Self-Assessment_Cases'!$E$4:$E$657,"SA-15",'Self-Assessment_Cases'!$I4:$I657,"Implemented")</f>
        <v>0</v>
      </c>
      <c r="C120" s="63">
        <f t="shared" si="21"/>
        <v>0</v>
      </c>
      <c r="D120" s="47">
        <f>COUNTIFS('Self-Assessment_Cases'!$E$4:$E$657,"SA-15",'Self-Assessment_Cases'!$I4:$I657,"In Progress - Administrative")</f>
        <v>0</v>
      </c>
      <c r="E120" s="64">
        <f t="shared" si="22"/>
        <v>0</v>
      </c>
      <c r="F120" s="62">
        <f>COUNTIFS('Self-Assessment_Cases'!$E$4:$E$657,"SA-15",'Self-Assessment_Cases'!$I4:$I657,"In Progress - Configuration")</f>
        <v>0</v>
      </c>
      <c r="G120" s="65">
        <f t="shared" si="23"/>
        <v>0</v>
      </c>
      <c r="H120" s="48">
        <f>COUNTIFS('Self-Assessment_Cases'!$E$4:$E$657,"SA-15",'Self-Assessment_Cases'!$I4:$I657,"In Progress - Installation/Upgrade")</f>
        <v>0</v>
      </c>
      <c r="I120" s="66">
        <f t="shared" si="24"/>
        <v>0</v>
      </c>
      <c r="J120" s="49">
        <f>COUNTIFS('Self-Assessment_Cases'!$E$4:$E$657,"SA-15",'Self-Assessment_Cases'!$I4:$I657,"Not Implemented - Compensating Control")</f>
        <v>0</v>
      </c>
      <c r="K120" s="67">
        <f t="shared" si="25"/>
        <v>0</v>
      </c>
      <c r="L120" s="50">
        <f>COUNTIFS('Self-Assessment_Cases'!$E$4:$E$657,"SA-15",'Self-Assessment_Cases'!$I4:$I657,"Not Implemented - Risk Negligible")</f>
        <v>0</v>
      </c>
      <c r="M120" s="56">
        <f t="shared" si="26"/>
        <v>0</v>
      </c>
      <c r="N120" s="57">
        <f>COUNTIFS('Self-Assessment_Cases'!$E$4:$E$657,"SA-15",'Self-Assessment_Cases'!$I4:$I657,"Not Implemented - Risk Accepted")</f>
        <v>0</v>
      </c>
      <c r="O120" s="57">
        <f t="shared" si="27"/>
        <v>0</v>
      </c>
      <c r="P120" s="58">
        <f>COUNTIFS('Self-Assessment_Cases'!$E$4:$E$657,"SA-15",'Self-Assessment_Cases'!$I4:$I657,"Not Implemented - Planned")</f>
        <v>0</v>
      </c>
      <c r="Q120" s="58">
        <f t="shared" si="28"/>
        <v>0</v>
      </c>
      <c r="R120" s="59">
        <f>COUNTIFS('Self-Assessment_Cases'!$E$4:$E$657,"SA-15",'Self-Assessment_Cases'!$I4:$I657,"Not Implemented - Unplanned")</f>
        <v>0</v>
      </c>
      <c r="S120" s="59">
        <f t="shared" si="29"/>
        <v>0</v>
      </c>
      <c r="T120" s="60">
        <f>COUNTIFS('Self-Assessment_Cases'!$E$4:$E$657,"SA-15",'Self-Assessment_Cases'!$I4:$I657,"Not Applicable")</f>
        <v>0</v>
      </c>
      <c r="U120" s="61"/>
      <c r="V120" s="68" t="e">
        <f t="shared" si="30"/>
        <v>#DIV/0!</v>
      </c>
      <c r="W120" s="44">
        <f t="shared" si="31"/>
        <v>0</v>
      </c>
    </row>
    <row r="121" spans="1:23" ht="15" customHeight="1" x14ac:dyDescent="0.2">
      <c r="A121" s="45" t="s">
        <v>232</v>
      </c>
      <c r="B121" s="46">
        <f>COUNTIFS('Self-Assessment_Cases'!$E$4:$E$657,"SA-17",'Self-Assessment_Cases'!$I4:$I657,"Implemented")</f>
        <v>0</v>
      </c>
      <c r="C121" s="63">
        <f t="shared" si="21"/>
        <v>0</v>
      </c>
      <c r="D121" s="47">
        <f>COUNTIFS('Self-Assessment_Cases'!$E$4:$E$657,"SA-17",'Self-Assessment_Cases'!$I4:$I657,"In Progress - Administrative")</f>
        <v>0</v>
      </c>
      <c r="E121" s="64">
        <f t="shared" si="22"/>
        <v>0</v>
      </c>
      <c r="F121" s="62">
        <f>COUNTIFS('Self-Assessment_Cases'!$E$4:$E$657,"SA-17",'Self-Assessment_Cases'!$I4:$I657,"In Progress - Configuration")</f>
        <v>0</v>
      </c>
      <c r="G121" s="65">
        <f t="shared" si="23"/>
        <v>0</v>
      </c>
      <c r="H121" s="48">
        <f>COUNTIFS('Self-Assessment_Cases'!$E$4:$E$657,"SA-17",'Self-Assessment_Cases'!$I4:$I657,"In Progress - Installation/Upgrade")</f>
        <v>0</v>
      </c>
      <c r="I121" s="66">
        <f t="shared" si="24"/>
        <v>0</v>
      </c>
      <c r="J121" s="49">
        <f>COUNTIFS('Self-Assessment_Cases'!$E$4:$E$657,"SA-17",'Self-Assessment_Cases'!$I4:$I657,"Not Implemented - Compensating Control")</f>
        <v>0</v>
      </c>
      <c r="K121" s="67">
        <f t="shared" si="25"/>
        <v>0</v>
      </c>
      <c r="L121" s="50">
        <f>COUNTIFS('Self-Assessment_Cases'!$E$4:$E$657,"SA-17",'Self-Assessment_Cases'!$I4:$I657,"Not Implemented - Risk Negligible")</f>
        <v>0</v>
      </c>
      <c r="M121" s="56">
        <f t="shared" si="26"/>
        <v>0</v>
      </c>
      <c r="N121" s="57">
        <f>COUNTIFS('Self-Assessment_Cases'!$E$4:$E$657,"SA-17",'Self-Assessment_Cases'!$I4:$I657,"Not Implemented - Risk Accepted")</f>
        <v>0</v>
      </c>
      <c r="O121" s="57">
        <f t="shared" si="27"/>
        <v>0</v>
      </c>
      <c r="P121" s="58">
        <f>COUNTIFS('Self-Assessment_Cases'!$E$4:$E$657,"SA-17",'Self-Assessment_Cases'!$I4:$I657,"Not Implemented - Planned")</f>
        <v>0</v>
      </c>
      <c r="Q121" s="58">
        <f t="shared" si="28"/>
        <v>0</v>
      </c>
      <c r="R121" s="59">
        <f>COUNTIFS('Self-Assessment_Cases'!$E$4:$E$657,"SA-17",'Self-Assessment_Cases'!$I4:$I657,"Not Implemented - Unplanned")</f>
        <v>0</v>
      </c>
      <c r="S121" s="59">
        <f t="shared" si="29"/>
        <v>0</v>
      </c>
      <c r="T121" s="60">
        <f>COUNTIFS('Self-Assessment_Cases'!$E$4:$E$657,"SA-17",'Self-Assessment_Cases'!$I4:$I657,"Not Applicable")</f>
        <v>0</v>
      </c>
      <c r="U121" s="61"/>
      <c r="V121" s="68" t="e">
        <f t="shared" si="30"/>
        <v>#DIV/0!</v>
      </c>
      <c r="W121" s="44">
        <f t="shared" si="31"/>
        <v>0</v>
      </c>
    </row>
    <row r="122" spans="1:23" ht="15" customHeight="1" x14ac:dyDescent="0.2">
      <c r="A122" s="45" t="s">
        <v>179</v>
      </c>
      <c r="B122" s="46">
        <f>COUNTIFS('Self-Assessment_Cases'!$E$4:$E$657,"SA-3",'Self-Assessment_Cases'!$I4:$I657,"Implemented")</f>
        <v>0</v>
      </c>
      <c r="C122" s="63">
        <f t="shared" si="21"/>
        <v>0</v>
      </c>
      <c r="D122" s="47">
        <f>COUNTIFS('Self-Assessment_Cases'!$E$4:$E$657,"SA-3",'Self-Assessment_Cases'!$I4:$I657,"In Progress - Administrative")</f>
        <v>0</v>
      </c>
      <c r="E122" s="64">
        <f t="shared" si="22"/>
        <v>0</v>
      </c>
      <c r="F122" s="62">
        <f>COUNTIFS('Self-Assessment_Cases'!$E$4:$E$657,"SA-3",'Self-Assessment_Cases'!$I4:$I657,"In Progress - Configuration")</f>
        <v>0</v>
      </c>
      <c r="G122" s="65">
        <f t="shared" si="23"/>
        <v>0</v>
      </c>
      <c r="H122" s="48">
        <f>COUNTIFS('Self-Assessment_Cases'!$E$4:$E$657,"SA-3",'Self-Assessment_Cases'!$I4:$I657,"In Progress - Installation/Upgrade")</f>
        <v>0</v>
      </c>
      <c r="I122" s="66">
        <f t="shared" si="24"/>
        <v>0</v>
      </c>
      <c r="J122" s="49">
        <f>COUNTIFS('Self-Assessment_Cases'!$E$4:$E$657,"SA-3",'Self-Assessment_Cases'!$I4:$I657,"Not Implemented - Compensating Control")</f>
        <v>0</v>
      </c>
      <c r="K122" s="67">
        <f t="shared" si="25"/>
        <v>0</v>
      </c>
      <c r="L122" s="50">
        <f>COUNTIFS('Self-Assessment_Cases'!$E$4:$E$657,"SA-3",'Self-Assessment_Cases'!$I4:$I657,"Not Implemented - Risk Negligible")</f>
        <v>0</v>
      </c>
      <c r="M122" s="56">
        <f t="shared" si="26"/>
        <v>0</v>
      </c>
      <c r="N122" s="57">
        <f>COUNTIFS('Self-Assessment_Cases'!$E$4:$E$657,"SA-3",'Self-Assessment_Cases'!$I4:$I657,"Not Implemented - Risk Accepted")</f>
        <v>0</v>
      </c>
      <c r="O122" s="57">
        <f t="shared" si="27"/>
        <v>0</v>
      </c>
      <c r="P122" s="58">
        <f>COUNTIFS('Self-Assessment_Cases'!$E$4:$E$657,"SA-3",'Self-Assessment_Cases'!$I4:$I657,"Not Implemented - Planned")</f>
        <v>0</v>
      </c>
      <c r="Q122" s="58">
        <f t="shared" si="28"/>
        <v>0</v>
      </c>
      <c r="R122" s="59">
        <f>COUNTIFS('Self-Assessment_Cases'!$E$4:$E$657,"SA-3",'Self-Assessment_Cases'!$I4:$I657,"Not Implemented - Unplanned")</f>
        <v>0</v>
      </c>
      <c r="S122" s="59">
        <f t="shared" si="29"/>
        <v>0</v>
      </c>
      <c r="T122" s="60">
        <f>COUNTIFS('Self-Assessment_Cases'!$E$4:$E$657,"SA-3",'Self-Assessment_Cases'!$I4:$I657,"Not Applicable")</f>
        <v>0</v>
      </c>
      <c r="U122" s="61"/>
      <c r="V122" s="68" t="e">
        <f t="shared" si="30"/>
        <v>#DIV/0!</v>
      </c>
      <c r="W122" s="44">
        <f t="shared" si="31"/>
        <v>0</v>
      </c>
    </row>
    <row r="123" spans="1:23" ht="15" customHeight="1" x14ac:dyDescent="0.2">
      <c r="A123" s="45" t="s">
        <v>181</v>
      </c>
      <c r="B123" s="46">
        <f>COUNTIFS('Self-Assessment_Cases'!$E$4:$E$657,"SA-4",'Self-Assessment_Cases'!$I4:$I657,"Implemented")</f>
        <v>0</v>
      </c>
      <c r="C123" s="63">
        <f t="shared" si="21"/>
        <v>0</v>
      </c>
      <c r="D123" s="47">
        <f>COUNTIFS('Self-Assessment_Cases'!$E$4:$E$657,"SA-4",'Self-Assessment_Cases'!$I4:$I657,"In Progress - Administrative")</f>
        <v>0</v>
      </c>
      <c r="E123" s="64">
        <f t="shared" si="22"/>
        <v>0</v>
      </c>
      <c r="F123" s="62">
        <f>COUNTIFS('Self-Assessment_Cases'!$E$4:$E$657,"SA-4",'Self-Assessment_Cases'!$I4:$I657,"In Progress - Configuration")</f>
        <v>0</v>
      </c>
      <c r="G123" s="65">
        <f t="shared" si="23"/>
        <v>0</v>
      </c>
      <c r="H123" s="48">
        <f>COUNTIFS('Self-Assessment_Cases'!$E$4:$E$657,"SA-4",'Self-Assessment_Cases'!$I4:$I657,"In Progress - Installation/Upgrade")</f>
        <v>0</v>
      </c>
      <c r="I123" s="66">
        <f t="shared" si="24"/>
        <v>0</v>
      </c>
      <c r="J123" s="49">
        <f>COUNTIFS('Self-Assessment_Cases'!$E$4:$E$657,"SA-4",'Self-Assessment_Cases'!$I4:$I657,"Not Implemented - Compensating Control")</f>
        <v>0</v>
      </c>
      <c r="K123" s="67">
        <f t="shared" si="25"/>
        <v>0</v>
      </c>
      <c r="L123" s="50">
        <f>COUNTIFS('Self-Assessment_Cases'!$E$4:$E$657,"SA-4",'Self-Assessment_Cases'!$I4:$I657,"Not Implemented - Risk Negligible")</f>
        <v>0</v>
      </c>
      <c r="M123" s="56">
        <f t="shared" si="26"/>
        <v>0</v>
      </c>
      <c r="N123" s="57">
        <f>COUNTIFS('Self-Assessment_Cases'!$E$4:$E$657,"SA-4",'Self-Assessment_Cases'!$I4:$I657,"Not Implemented - Risk Accepted")</f>
        <v>0</v>
      </c>
      <c r="O123" s="57">
        <f t="shared" si="27"/>
        <v>0</v>
      </c>
      <c r="P123" s="58">
        <f>COUNTIFS('Self-Assessment_Cases'!$E$4:$E$657,"SA-4",'Self-Assessment_Cases'!$I4:$I657,"Not Implemented - Planned")</f>
        <v>0</v>
      </c>
      <c r="Q123" s="58">
        <f t="shared" si="28"/>
        <v>0</v>
      </c>
      <c r="R123" s="59">
        <f>COUNTIFS('Self-Assessment_Cases'!$E$4:$E$657,"SA-4",'Self-Assessment_Cases'!$I4:$I657,"Not Implemented - Unplanned")</f>
        <v>0</v>
      </c>
      <c r="S123" s="59">
        <f t="shared" si="29"/>
        <v>0</v>
      </c>
      <c r="T123" s="60">
        <f>COUNTIFS('Self-Assessment_Cases'!$E$4:$E$657,"SA-4",'Self-Assessment_Cases'!$I4:$I657,"Not Applicable")</f>
        <v>0</v>
      </c>
      <c r="U123" s="61"/>
      <c r="V123" s="68" t="e">
        <f t="shared" si="30"/>
        <v>#DIV/0!</v>
      </c>
      <c r="W123" s="44">
        <f t="shared" si="31"/>
        <v>0</v>
      </c>
    </row>
    <row r="124" spans="1:23" ht="15" customHeight="1" x14ac:dyDescent="0.2">
      <c r="A124" s="45" t="s">
        <v>183</v>
      </c>
      <c r="B124" s="46">
        <f>COUNTIFS('Self-Assessment_Cases'!$E$4:$E$657,"SA-5",'Self-Assessment_Cases'!$I4:$I657,"Implemented")</f>
        <v>0</v>
      </c>
      <c r="C124" s="63">
        <f t="shared" si="21"/>
        <v>0</v>
      </c>
      <c r="D124" s="47">
        <f>COUNTIFS('Self-Assessment_Cases'!$E$4:$E$657,"SA-5",'Self-Assessment_Cases'!$I4:$I657,"In Progress - Administrative")</f>
        <v>0</v>
      </c>
      <c r="E124" s="64">
        <f t="shared" si="22"/>
        <v>0</v>
      </c>
      <c r="F124" s="62">
        <f>COUNTIFS('Self-Assessment_Cases'!$E$4:$E$657,"SA-5",'Self-Assessment_Cases'!$I4:$I657,"In Progress - Configuration")</f>
        <v>0</v>
      </c>
      <c r="G124" s="65">
        <f t="shared" si="23"/>
        <v>0</v>
      </c>
      <c r="H124" s="48">
        <f>COUNTIFS('Self-Assessment_Cases'!$E$4:$E$657,"SA-5",'Self-Assessment_Cases'!$I4:$I657,"In Progress - Installation/Upgrade")</f>
        <v>0</v>
      </c>
      <c r="I124" s="66">
        <f t="shared" si="24"/>
        <v>0</v>
      </c>
      <c r="J124" s="49">
        <f>COUNTIFS('Self-Assessment_Cases'!$E$4:$E$657,"SA-5",'Self-Assessment_Cases'!$I4:$I657,"Not Implemented - Compensating Control")</f>
        <v>0</v>
      </c>
      <c r="K124" s="67">
        <f t="shared" si="25"/>
        <v>0</v>
      </c>
      <c r="L124" s="50">
        <f>COUNTIFS('Self-Assessment_Cases'!$E$4:$E$657,"SA-5",'Self-Assessment_Cases'!$I4:$I657,"Not Implemented - Risk Negligible")</f>
        <v>0</v>
      </c>
      <c r="M124" s="56">
        <f t="shared" si="26"/>
        <v>0</v>
      </c>
      <c r="N124" s="57">
        <f>COUNTIFS('Self-Assessment_Cases'!$E$4:$E$657,"SA-5",'Self-Assessment_Cases'!$I4:$I657,"Not Implemented - Risk Accepted")</f>
        <v>0</v>
      </c>
      <c r="O124" s="57">
        <f t="shared" si="27"/>
        <v>0</v>
      </c>
      <c r="P124" s="58">
        <f>COUNTIFS('Self-Assessment_Cases'!$E$4:$E$657,"SA-5",'Self-Assessment_Cases'!$I4:$I657,"Not Implemented - Planned")</f>
        <v>0</v>
      </c>
      <c r="Q124" s="58">
        <f t="shared" si="28"/>
        <v>0</v>
      </c>
      <c r="R124" s="59">
        <f>COUNTIFS('Self-Assessment_Cases'!$E$4:$E$657,"SA-5",'Self-Assessment_Cases'!$I4:$I657,"Not Implemented - Unplanned")</f>
        <v>0</v>
      </c>
      <c r="S124" s="59">
        <f t="shared" si="29"/>
        <v>0</v>
      </c>
      <c r="T124" s="60">
        <f>COUNTIFS('Self-Assessment_Cases'!$E$4:$E$657,"SA-5",'Self-Assessment_Cases'!$I4:$I657,"Not Applicable")</f>
        <v>0</v>
      </c>
      <c r="U124" s="61"/>
      <c r="V124" s="68" t="e">
        <f t="shared" si="30"/>
        <v>#DIV/0!</v>
      </c>
      <c r="W124" s="44">
        <f t="shared" si="31"/>
        <v>0</v>
      </c>
    </row>
    <row r="125" spans="1:23" ht="15" customHeight="1" x14ac:dyDescent="0.2">
      <c r="A125" s="45" t="s">
        <v>185</v>
      </c>
      <c r="B125" s="46">
        <f>COUNTIFS('Self-Assessment_Cases'!$E$4:$E$657,"SA-8",'Self-Assessment_Cases'!$I4:$I657,"Implemented")</f>
        <v>0</v>
      </c>
      <c r="C125" s="63">
        <f t="shared" si="21"/>
        <v>0</v>
      </c>
      <c r="D125" s="47">
        <f>COUNTIFS('Self-Assessment_Cases'!$E$4:$E$657,"SA-8",'Self-Assessment_Cases'!$I4:$I657,"In Progress - Administrative")</f>
        <v>0</v>
      </c>
      <c r="E125" s="64">
        <f t="shared" si="22"/>
        <v>0</v>
      </c>
      <c r="F125" s="62">
        <f>COUNTIFS('Self-Assessment_Cases'!$E$4:$E$657,"SA-8",'Self-Assessment_Cases'!$I4:$I657,"In Progress - Configuration")</f>
        <v>0</v>
      </c>
      <c r="G125" s="65">
        <f t="shared" si="23"/>
        <v>0</v>
      </c>
      <c r="H125" s="48">
        <f>COUNTIFS('Self-Assessment_Cases'!$E$4:$E$657,"SA-8",'Self-Assessment_Cases'!$I4:$I657,"In Progress - Installation/Upgrade")</f>
        <v>0</v>
      </c>
      <c r="I125" s="66">
        <f t="shared" si="24"/>
        <v>0</v>
      </c>
      <c r="J125" s="49">
        <f>COUNTIFS('Self-Assessment_Cases'!$E$4:$E$657,"SA-8",'Self-Assessment_Cases'!$I4:$I657,"Not Implemented - Compensating Control")</f>
        <v>0</v>
      </c>
      <c r="K125" s="67">
        <f t="shared" si="25"/>
        <v>0</v>
      </c>
      <c r="L125" s="50">
        <f>COUNTIFS('Self-Assessment_Cases'!$E$4:$E$657,"SA-8",'Self-Assessment_Cases'!$I4:$I657,"Not Implemented - Risk Negligible")</f>
        <v>0</v>
      </c>
      <c r="M125" s="56">
        <f t="shared" si="26"/>
        <v>0</v>
      </c>
      <c r="N125" s="57">
        <f>COUNTIFS('Self-Assessment_Cases'!$E$4:$E$657,"SA-8",'Self-Assessment_Cases'!$I4:$I657,"Not Implemented - Risk Accepted")</f>
        <v>0</v>
      </c>
      <c r="O125" s="57">
        <f t="shared" si="27"/>
        <v>0</v>
      </c>
      <c r="P125" s="58">
        <f>COUNTIFS('Self-Assessment_Cases'!$E$4:$E$657,"SA-8",'Self-Assessment_Cases'!$I4:$I657,"Not Implemented - Planned")</f>
        <v>0</v>
      </c>
      <c r="Q125" s="58">
        <f t="shared" si="28"/>
        <v>0</v>
      </c>
      <c r="R125" s="59">
        <f>COUNTIFS('Self-Assessment_Cases'!$E$4:$E$657,"SA-8",'Self-Assessment_Cases'!$I4:$I657,"Not Implemented - Unplanned")</f>
        <v>0</v>
      </c>
      <c r="S125" s="59">
        <f t="shared" si="29"/>
        <v>0</v>
      </c>
      <c r="T125" s="60">
        <f>COUNTIFS('Self-Assessment_Cases'!$E$4:$E$657,"SA-8",'Self-Assessment_Cases'!$I4:$I657,"Not Applicable")</f>
        <v>0</v>
      </c>
      <c r="U125" s="61"/>
      <c r="V125" s="68" t="e">
        <f t="shared" si="30"/>
        <v>#DIV/0!</v>
      </c>
      <c r="W125" s="44">
        <f t="shared" si="31"/>
        <v>0</v>
      </c>
    </row>
    <row r="126" spans="1:23" ht="15" customHeight="1" x14ac:dyDescent="0.2">
      <c r="A126" s="45" t="s">
        <v>187</v>
      </c>
      <c r="B126" s="46">
        <f>COUNTIFS('Self-Assessment_Cases'!$E$4:$E$657,"SA-9",'Self-Assessment_Cases'!$I4:$I657,"Implemented")</f>
        <v>0</v>
      </c>
      <c r="C126" s="63">
        <f t="shared" si="21"/>
        <v>0</v>
      </c>
      <c r="D126" s="47">
        <f>COUNTIFS('Self-Assessment_Cases'!$E$4:$E$657,"SA-9",'Self-Assessment_Cases'!$I4:$I657,"In Progress - Administrative")</f>
        <v>0</v>
      </c>
      <c r="E126" s="64">
        <f t="shared" si="22"/>
        <v>0</v>
      </c>
      <c r="F126" s="62">
        <f>COUNTIFS('Self-Assessment_Cases'!$E$4:$E$657,"SA-9",'Self-Assessment_Cases'!$I4:$I657,"In Progress - Configuration")</f>
        <v>0</v>
      </c>
      <c r="G126" s="65">
        <f t="shared" si="23"/>
        <v>0</v>
      </c>
      <c r="H126" s="48">
        <f>COUNTIFS('Self-Assessment_Cases'!$E$4:$E$657,"SA-9",'Self-Assessment_Cases'!$I4:$I657,"In Progress - Installation/Upgrade")</f>
        <v>0</v>
      </c>
      <c r="I126" s="66">
        <f t="shared" si="24"/>
        <v>0</v>
      </c>
      <c r="J126" s="49">
        <f>COUNTIFS('Self-Assessment_Cases'!$E$4:$E$657,"SA-9",'Self-Assessment_Cases'!$I4:$I657,"Not Implemented - Compensating Control")</f>
        <v>0</v>
      </c>
      <c r="K126" s="67">
        <f t="shared" si="25"/>
        <v>0</v>
      </c>
      <c r="L126" s="50">
        <f>COUNTIFS('Self-Assessment_Cases'!$E$4:$E$657,"SA-9",'Self-Assessment_Cases'!$I4:$I657,"Not Implemented - Risk Negligible")</f>
        <v>0</v>
      </c>
      <c r="M126" s="56">
        <f t="shared" si="26"/>
        <v>0</v>
      </c>
      <c r="N126" s="57">
        <f>COUNTIFS('Self-Assessment_Cases'!$E$4:$E$657,"SA-9",'Self-Assessment_Cases'!$I4:$I657,"Not Implemented - Risk Accepted")</f>
        <v>0</v>
      </c>
      <c r="O126" s="57">
        <f t="shared" si="27"/>
        <v>0</v>
      </c>
      <c r="P126" s="58">
        <f>COUNTIFS('Self-Assessment_Cases'!$E$4:$E$657,"SA-9",'Self-Assessment_Cases'!$I4:$I657,"Not Implemented - Planned")</f>
        <v>0</v>
      </c>
      <c r="Q126" s="58">
        <f t="shared" si="28"/>
        <v>0</v>
      </c>
      <c r="R126" s="59">
        <f>COUNTIFS('Self-Assessment_Cases'!$E$4:$E$657,"SA-9",'Self-Assessment_Cases'!$I4:$I657,"Not Implemented - Unplanned")</f>
        <v>0</v>
      </c>
      <c r="S126" s="59">
        <f t="shared" si="29"/>
        <v>0</v>
      </c>
      <c r="T126" s="60">
        <f>COUNTIFS('Self-Assessment_Cases'!$E$4:$E$657,"SA-9",'Self-Assessment_Cases'!$I4:$I657,"Not Applicable")</f>
        <v>0</v>
      </c>
      <c r="U126" s="61"/>
      <c r="V126" s="68" t="e">
        <f t="shared" si="30"/>
        <v>#DIV/0!</v>
      </c>
      <c r="W126" s="44">
        <f t="shared" si="31"/>
        <v>0</v>
      </c>
    </row>
    <row r="127" spans="1:23" x14ac:dyDescent="0.2">
      <c r="A127" s="45" t="s">
        <v>193</v>
      </c>
      <c r="B127" s="46">
        <f>COUNTIFS('Self-Assessment_Cases'!$E$4:$E$657,"SC-1",'Self-Assessment_Cases'!$I4:$I657,"Implemented")</f>
        <v>0</v>
      </c>
      <c r="C127" s="63">
        <f t="shared" si="21"/>
        <v>0</v>
      </c>
      <c r="D127" s="47">
        <f>COUNTIFS('Self-Assessment_Cases'!$E$4:$E$657,"SC-1",'Self-Assessment_Cases'!$I4:$I657,"In Progress - Administrative")</f>
        <v>0</v>
      </c>
      <c r="E127" s="64">
        <f t="shared" si="22"/>
        <v>0</v>
      </c>
      <c r="F127" s="62">
        <f>COUNTIFS('Self-Assessment_Cases'!$E$4:$E$657,"SC-1",'Self-Assessment_Cases'!$I4:$I657,"In Progress - Configuration")</f>
        <v>0</v>
      </c>
      <c r="G127" s="65">
        <f t="shared" si="23"/>
        <v>0</v>
      </c>
      <c r="H127" s="48">
        <f>COUNTIFS('Self-Assessment_Cases'!$E$4:$E$657,"SC-1",'Self-Assessment_Cases'!$I4:$I657,"In Progress - Installation/Upgrade")</f>
        <v>0</v>
      </c>
      <c r="I127" s="66">
        <f t="shared" si="24"/>
        <v>0</v>
      </c>
      <c r="J127" s="49">
        <f>COUNTIFS('Self-Assessment_Cases'!$E$4:$E$657,"SC-1",'Self-Assessment_Cases'!$I4:$I657,"Not Implemented - Compensating Control")</f>
        <v>0</v>
      </c>
      <c r="K127" s="67">
        <f t="shared" si="25"/>
        <v>0</v>
      </c>
      <c r="L127" s="50">
        <f>COUNTIFS('Self-Assessment_Cases'!$E$4:$E$657,"SC-1",'Self-Assessment_Cases'!$I4:$I657,"Not Implemented - Risk Negligible")</f>
        <v>0</v>
      </c>
      <c r="M127" s="56">
        <f t="shared" si="26"/>
        <v>0</v>
      </c>
      <c r="N127" s="57">
        <f>COUNTIFS('Self-Assessment_Cases'!$E$4:$E$657,"SC-1",'Self-Assessment_Cases'!$I4:$I657,"Not Implemented - Risk Accepted")</f>
        <v>0</v>
      </c>
      <c r="O127" s="57">
        <f t="shared" si="27"/>
        <v>0</v>
      </c>
      <c r="P127" s="58">
        <f>COUNTIFS('Self-Assessment_Cases'!$E$4:$E$657,"SC-1",'Self-Assessment_Cases'!$I4:$I657,"Not Implemented - Planned")</f>
        <v>0</v>
      </c>
      <c r="Q127" s="58">
        <f t="shared" si="28"/>
        <v>0</v>
      </c>
      <c r="R127" s="59">
        <f>COUNTIFS('Self-Assessment_Cases'!$E$4:$E$657,"SC-1",'Self-Assessment_Cases'!$I4:$I657,"Not Implemented - Unplanned")</f>
        <v>0</v>
      </c>
      <c r="S127" s="59">
        <f t="shared" si="29"/>
        <v>0</v>
      </c>
      <c r="T127" s="60">
        <f>COUNTIFS('Self-Assessment_Cases'!$E$4:$E$657,"SC-1",'Self-Assessment_Cases'!$I4:$I657,"Not Applicable")</f>
        <v>0</v>
      </c>
      <c r="U127" s="61"/>
      <c r="V127" s="68" t="e">
        <f t="shared" si="30"/>
        <v>#DIV/0!</v>
      </c>
      <c r="W127" s="44">
        <f t="shared" si="31"/>
        <v>0</v>
      </c>
    </row>
    <row r="128" spans="1:23" x14ac:dyDescent="0.2">
      <c r="A128" s="45" t="s">
        <v>202</v>
      </c>
      <c r="B128" s="46">
        <f>COUNTIFS('Self-Assessment_Cases'!$E$4:$E$657,"SC-13",'Self-Assessment_Cases'!$I4:$I657,"Implemented")</f>
        <v>0</v>
      </c>
      <c r="C128" s="63">
        <f t="shared" si="21"/>
        <v>0</v>
      </c>
      <c r="D128" s="47">
        <f>COUNTIFS('Self-Assessment_Cases'!$E$4:$E$657,"SC-13",'Self-Assessment_Cases'!$I4:$I657,"In Progress - Administrative")</f>
        <v>0</v>
      </c>
      <c r="E128" s="64">
        <f t="shared" si="22"/>
        <v>0</v>
      </c>
      <c r="F128" s="62">
        <f>COUNTIFS('Self-Assessment_Cases'!$E$4:$E$657,"SC-13",'Self-Assessment_Cases'!$I4:$I657,"In Progress - Configuration")</f>
        <v>0</v>
      </c>
      <c r="G128" s="65">
        <f t="shared" si="23"/>
        <v>0</v>
      </c>
      <c r="H128" s="48">
        <f>COUNTIFS('Self-Assessment_Cases'!$E$4:$E$657,"SC-13",'Self-Assessment_Cases'!$I4:$I657,"In Progress - Installation/Upgrade")</f>
        <v>0</v>
      </c>
      <c r="I128" s="66">
        <f t="shared" si="24"/>
        <v>0</v>
      </c>
      <c r="J128" s="49">
        <f>COUNTIFS('Self-Assessment_Cases'!$E$4:$E$657,"SC-13",'Self-Assessment_Cases'!$I4:$I657,"Not Implemented - Compensating Control")</f>
        <v>0</v>
      </c>
      <c r="K128" s="67">
        <f t="shared" si="25"/>
        <v>0</v>
      </c>
      <c r="L128" s="50">
        <f>COUNTIFS('Self-Assessment_Cases'!$E$4:$E$657,"SC-13",'Self-Assessment_Cases'!$I4:$I657,"Not Implemented - Risk Negligible")</f>
        <v>0</v>
      </c>
      <c r="M128" s="56">
        <f t="shared" si="26"/>
        <v>0</v>
      </c>
      <c r="N128" s="57">
        <f>COUNTIFS('Self-Assessment_Cases'!$E$4:$E$657,"SC-13",'Self-Assessment_Cases'!$I4:$I657,"Not Implemented - Risk Accepted")</f>
        <v>0</v>
      </c>
      <c r="O128" s="57">
        <f t="shared" si="27"/>
        <v>0</v>
      </c>
      <c r="P128" s="58">
        <f>COUNTIFS('Self-Assessment_Cases'!$E$4:$E$657,"SC-13",'Self-Assessment_Cases'!$I4:$I657,"Not Implemented - Planned")</f>
        <v>0</v>
      </c>
      <c r="Q128" s="58">
        <f t="shared" si="28"/>
        <v>0</v>
      </c>
      <c r="R128" s="59">
        <f>COUNTIFS('Self-Assessment_Cases'!$E$4:$E$657,"SC-13",'Self-Assessment_Cases'!$I4:$I657,"Not Implemented - Unplanned")</f>
        <v>0</v>
      </c>
      <c r="S128" s="59">
        <f t="shared" si="29"/>
        <v>0</v>
      </c>
      <c r="T128" s="60">
        <f>COUNTIFS('Self-Assessment_Cases'!$E$4:$E$657,"SC-13",'Self-Assessment_Cases'!$I4:$I657,"Not Applicable")</f>
        <v>0</v>
      </c>
      <c r="U128" s="61"/>
      <c r="V128" s="68" t="e">
        <f t="shared" si="30"/>
        <v>#DIV/0!</v>
      </c>
      <c r="W128" s="44">
        <f t="shared" si="31"/>
        <v>0</v>
      </c>
    </row>
    <row r="129" spans="1:23" ht="15" customHeight="1" x14ac:dyDescent="0.2">
      <c r="A129" s="45" t="s">
        <v>204</v>
      </c>
      <c r="B129" s="46">
        <f>COUNTIFS('Self-Assessment_Cases'!$E$4:$E$657,"SC-18",'Self-Assessment_Cases'!$I4:$I657,"Implemented")</f>
        <v>0</v>
      </c>
      <c r="C129" s="63">
        <f t="shared" si="21"/>
        <v>0</v>
      </c>
      <c r="D129" s="47">
        <f>COUNTIFS('Self-Assessment_Cases'!$E$4:$E$657,"SC-18",'Self-Assessment_Cases'!$I4:$I657,"In Progress - Administrative")</f>
        <v>0</v>
      </c>
      <c r="E129" s="64">
        <f t="shared" si="22"/>
        <v>0</v>
      </c>
      <c r="F129" s="62">
        <f>COUNTIFS('Self-Assessment_Cases'!$E$4:$E$657,"SC-18",'Self-Assessment_Cases'!$I4:$I657,"In Progress - Configuration")</f>
        <v>0</v>
      </c>
      <c r="G129" s="65">
        <f t="shared" si="23"/>
        <v>0</v>
      </c>
      <c r="H129" s="48">
        <f>COUNTIFS('Self-Assessment_Cases'!$E$4:$E$657,"SC-18",'Self-Assessment_Cases'!$I4:$I657,"In Progress - Installation/Upgrade")</f>
        <v>0</v>
      </c>
      <c r="I129" s="66">
        <f t="shared" si="24"/>
        <v>0</v>
      </c>
      <c r="J129" s="49">
        <f>COUNTIFS('Self-Assessment_Cases'!$E$4:$E$657,"SC-18",'Self-Assessment_Cases'!$I4:$I657,"Not Implemented - Compensating Control")</f>
        <v>0</v>
      </c>
      <c r="K129" s="67">
        <f t="shared" si="25"/>
        <v>0</v>
      </c>
      <c r="L129" s="50">
        <f>COUNTIFS('Self-Assessment_Cases'!$E$4:$E$657,"SC-18",'Self-Assessment_Cases'!$I4:$I657,"Not Implemented - Risk Negligible")</f>
        <v>0</v>
      </c>
      <c r="M129" s="56">
        <f t="shared" si="26"/>
        <v>0</v>
      </c>
      <c r="N129" s="57">
        <f>COUNTIFS('Self-Assessment_Cases'!$E$4:$E$657,"SC-18",'Self-Assessment_Cases'!$I4:$I657,"Not Implemented - Risk Accepted")</f>
        <v>0</v>
      </c>
      <c r="O129" s="57">
        <f t="shared" si="27"/>
        <v>0</v>
      </c>
      <c r="P129" s="58">
        <f>COUNTIFS('Self-Assessment_Cases'!$E$4:$E$657,"SC-18",'Self-Assessment_Cases'!$I4:$I657,"Not Implemented - Planned")</f>
        <v>0</v>
      </c>
      <c r="Q129" s="58">
        <f t="shared" si="28"/>
        <v>0</v>
      </c>
      <c r="R129" s="59">
        <f>COUNTIFS('Self-Assessment_Cases'!$E$4:$E$657,"SC-18",'Self-Assessment_Cases'!$I4:$I657,"Not Implemented - Unplanned")</f>
        <v>0</v>
      </c>
      <c r="S129" s="59">
        <f t="shared" si="29"/>
        <v>0</v>
      </c>
      <c r="T129" s="60">
        <f>COUNTIFS('Self-Assessment_Cases'!$E$4:$E$657,"SC-18",'Self-Assessment_Cases'!$I4:$I657,"Not Applicable")</f>
        <v>0</v>
      </c>
      <c r="U129" s="61"/>
      <c r="V129" s="68" t="e">
        <f t="shared" si="30"/>
        <v>#DIV/0!</v>
      </c>
      <c r="W129" s="44">
        <f t="shared" si="31"/>
        <v>0</v>
      </c>
    </row>
    <row r="130" spans="1:23" ht="15" customHeight="1" x14ac:dyDescent="0.2">
      <c r="A130" s="45" t="s">
        <v>749</v>
      </c>
      <c r="B130" s="46">
        <f>COUNTIFS('Self-Assessment_Cases'!$E$4:$E$657,"SC-2",'Self-Assessment_Cases'!$I4:$I657,"Implemented")</f>
        <v>0</v>
      </c>
      <c r="C130" s="63">
        <f t="shared" si="21"/>
        <v>0</v>
      </c>
      <c r="D130" s="47">
        <f>COUNTIFS('Self-Assessment_Cases'!$E$4:$E$657,"SC-2",'Self-Assessment_Cases'!$I4:$I657,"In Progress - Administrative")</f>
        <v>0</v>
      </c>
      <c r="E130" s="64">
        <f t="shared" si="22"/>
        <v>0</v>
      </c>
      <c r="F130" s="62">
        <f>COUNTIFS('Self-Assessment_Cases'!$E$4:$E$657,"SC-2",'Self-Assessment_Cases'!$I4:$I657,"In Progress - Configuration")</f>
        <v>0</v>
      </c>
      <c r="G130" s="65">
        <f t="shared" si="23"/>
        <v>0</v>
      </c>
      <c r="H130" s="48">
        <f>COUNTIFS('Self-Assessment_Cases'!$E$4:$E$657,"SC-2",'Self-Assessment_Cases'!$I4:$I657,"In Progress - Installation/Upgrade")</f>
        <v>0</v>
      </c>
      <c r="I130" s="66">
        <f t="shared" si="24"/>
        <v>0</v>
      </c>
      <c r="J130" s="49">
        <f>COUNTIFS('Self-Assessment_Cases'!$E$4:$E$657,"SC-2",'Self-Assessment_Cases'!$I4:$I657,"Not Implemented - Compensating Control")</f>
        <v>0</v>
      </c>
      <c r="K130" s="67">
        <f t="shared" si="25"/>
        <v>0</v>
      </c>
      <c r="L130" s="50">
        <f>COUNTIFS('Self-Assessment_Cases'!$E$4:$E$657,"SC-2",'Self-Assessment_Cases'!$I4:$I657,"Not Implemented - Risk Negligible")</f>
        <v>0</v>
      </c>
      <c r="M130" s="56">
        <f t="shared" si="26"/>
        <v>0</v>
      </c>
      <c r="N130" s="57">
        <f>COUNTIFS('Self-Assessment_Cases'!$E$4:$E$657,"SC-2",'Self-Assessment_Cases'!$I4:$I657,"Not Implemented - Risk Accepted")</f>
        <v>0</v>
      </c>
      <c r="O130" s="57">
        <f t="shared" si="27"/>
        <v>0</v>
      </c>
      <c r="P130" s="58">
        <f>COUNTIFS('Self-Assessment_Cases'!$E$4:$E$657,"SC-2",'Self-Assessment_Cases'!$I4:$I657,"Not Implemented - Planned")</f>
        <v>0</v>
      </c>
      <c r="Q130" s="58">
        <f t="shared" si="28"/>
        <v>0</v>
      </c>
      <c r="R130" s="59">
        <f>COUNTIFS('Self-Assessment_Cases'!$E$4:$E$657,"SC-2",'Self-Assessment_Cases'!$I4:$I657,"Not Implemented - Unplanned")</f>
        <v>0</v>
      </c>
      <c r="S130" s="59">
        <f t="shared" si="29"/>
        <v>0</v>
      </c>
      <c r="T130" s="60">
        <f>COUNTIFS('Self-Assessment_Cases'!$E$4:$E$657,"SC-2",'Self-Assessment_Cases'!$I4:$I657,"Not Applicable")</f>
        <v>0</v>
      </c>
      <c r="U130" s="61"/>
      <c r="V130" s="68" t="e">
        <f t="shared" si="30"/>
        <v>#DIV/0!</v>
      </c>
      <c r="W130" s="44">
        <f t="shared" si="31"/>
        <v>0</v>
      </c>
    </row>
    <row r="131" spans="1:23" x14ac:dyDescent="0.2">
      <c r="A131" s="45" t="s">
        <v>206</v>
      </c>
      <c r="B131" s="46">
        <f>COUNTIFS('Self-Assessment_Cases'!$E$4:$E$657,"SC-28",'Self-Assessment_Cases'!$I4:$I657,"Implemented")</f>
        <v>0</v>
      </c>
      <c r="C131" s="63">
        <f t="shared" si="21"/>
        <v>0</v>
      </c>
      <c r="D131" s="47">
        <f>COUNTIFS('Self-Assessment_Cases'!$E$4:$E$657,"SC-28",'Self-Assessment_Cases'!$I4:$I657,"In Progress - Administrative")</f>
        <v>0</v>
      </c>
      <c r="E131" s="64">
        <f t="shared" si="22"/>
        <v>0</v>
      </c>
      <c r="F131" s="62">
        <f>COUNTIFS('Self-Assessment_Cases'!$E$4:$E$657,"SC-28",'Self-Assessment_Cases'!$I4:$I657,"In Progress - Configuration")</f>
        <v>0</v>
      </c>
      <c r="G131" s="65">
        <f t="shared" si="23"/>
        <v>0</v>
      </c>
      <c r="H131" s="48">
        <f>COUNTIFS('Self-Assessment_Cases'!$E$4:$E$657,"SC-28",'Self-Assessment_Cases'!$I4:$I657,"In Progress - Installation/Upgrade")</f>
        <v>0</v>
      </c>
      <c r="I131" s="66">
        <f t="shared" si="24"/>
        <v>0</v>
      </c>
      <c r="J131" s="49">
        <f>COUNTIFS('Self-Assessment_Cases'!$E$4:$E$657,"SC-28",'Self-Assessment_Cases'!$I4:$I657,"Not Implemented - Compensating Control")</f>
        <v>0</v>
      </c>
      <c r="K131" s="67">
        <f t="shared" si="25"/>
        <v>0</v>
      </c>
      <c r="L131" s="50">
        <f>COUNTIFS('Self-Assessment_Cases'!$E$4:$E$657,"SC-28",'Self-Assessment_Cases'!$I4:$I657,"Not Implemented - Risk Negligible")</f>
        <v>0</v>
      </c>
      <c r="M131" s="56">
        <f t="shared" si="26"/>
        <v>0</v>
      </c>
      <c r="N131" s="57">
        <f>COUNTIFS('Self-Assessment_Cases'!$E$4:$E$657,"SC-28",'Self-Assessment_Cases'!$I4:$I657,"Not Implemented - Risk Accepted")</f>
        <v>0</v>
      </c>
      <c r="O131" s="57">
        <f t="shared" si="27"/>
        <v>0</v>
      </c>
      <c r="P131" s="58">
        <f>COUNTIFS('Self-Assessment_Cases'!$E$4:$E$657,"SC-28",'Self-Assessment_Cases'!$I4:$I657,"Not Implemented - Planned")</f>
        <v>0</v>
      </c>
      <c r="Q131" s="58">
        <f t="shared" si="28"/>
        <v>0</v>
      </c>
      <c r="R131" s="59">
        <f>COUNTIFS('Self-Assessment_Cases'!$E$4:$E$657,"SC-28",'Self-Assessment_Cases'!$I4:$I657,"Not Implemented - Unplanned")</f>
        <v>0</v>
      </c>
      <c r="S131" s="59">
        <f t="shared" si="29"/>
        <v>0</v>
      </c>
      <c r="T131" s="60">
        <f>COUNTIFS('Self-Assessment_Cases'!$E$4:$E$657,"SC-28",'Self-Assessment_Cases'!$I4:$I657,"Not Applicable")</f>
        <v>0</v>
      </c>
      <c r="U131" s="61"/>
      <c r="V131" s="68" t="e">
        <f t="shared" si="30"/>
        <v>#DIV/0!</v>
      </c>
      <c r="W131" s="44">
        <f t="shared" si="31"/>
        <v>0</v>
      </c>
    </row>
    <row r="132" spans="1:23" ht="15" customHeight="1" x14ac:dyDescent="0.2">
      <c r="A132" s="45" t="s">
        <v>233</v>
      </c>
      <c r="B132" s="46">
        <f>COUNTIFS('Self-Assessment_Cases'!$E$4:$E$657,"SC-31",'Self-Assessment_Cases'!$I4:$I657,"Implemented")</f>
        <v>0</v>
      </c>
      <c r="C132" s="63">
        <f t="shared" si="21"/>
        <v>0</v>
      </c>
      <c r="D132" s="47">
        <f>COUNTIFS('Self-Assessment_Cases'!$E$4:$E$657,"SC-31",'Self-Assessment_Cases'!$I4:$I657,"In Progress - Administrative")</f>
        <v>0</v>
      </c>
      <c r="E132" s="64">
        <f t="shared" si="22"/>
        <v>0</v>
      </c>
      <c r="F132" s="62">
        <f>COUNTIFS('Self-Assessment_Cases'!$E$4:$E$657,"SC-31",'Self-Assessment_Cases'!$I4:$I657,"In Progress - Configuration")</f>
        <v>0</v>
      </c>
      <c r="G132" s="65">
        <f t="shared" si="23"/>
        <v>0</v>
      </c>
      <c r="H132" s="48">
        <f>COUNTIFS('Self-Assessment_Cases'!$E$4:$E$657,"SC-31",'Self-Assessment_Cases'!$I4:$I657,"In Progress - Installation/Upgrade")</f>
        <v>0</v>
      </c>
      <c r="I132" s="66">
        <f t="shared" si="24"/>
        <v>0</v>
      </c>
      <c r="J132" s="49">
        <f>COUNTIFS('Self-Assessment_Cases'!$E$4:$E$657,"SC-31",'Self-Assessment_Cases'!$I4:$I657,"Not Implemented - Compensating Control")</f>
        <v>0</v>
      </c>
      <c r="K132" s="67">
        <f t="shared" si="25"/>
        <v>0</v>
      </c>
      <c r="L132" s="50">
        <f>COUNTIFS('Self-Assessment_Cases'!$E$4:$E$657,"SC-31",'Self-Assessment_Cases'!$I4:$I657,"Not Implemented - Risk Negligible")</f>
        <v>0</v>
      </c>
      <c r="M132" s="56">
        <f t="shared" si="26"/>
        <v>0</v>
      </c>
      <c r="N132" s="57">
        <f>COUNTIFS('Self-Assessment_Cases'!$E$4:$E$657,"SC-31",'Self-Assessment_Cases'!$I4:$I657,"Not Implemented - Risk Accepted")</f>
        <v>0</v>
      </c>
      <c r="O132" s="57">
        <f t="shared" si="27"/>
        <v>0</v>
      </c>
      <c r="P132" s="58">
        <f>COUNTIFS('Self-Assessment_Cases'!$E$4:$E$657,"SC-31",'Self-Assessment_Cases'!$I4:$I657,"Not Implemented - Planned")</f>
        <v>0</v>
      </c>
      <c r="Q132" s="58">
        <f t="shared" si="28"/>
        <v>0</v>
      </c>
      <c r="R132" s="59">
        <f>COUNTIFS('Self-Assessment_Cases'!$E$4:$E$657,"SC-31",'Self-Assessment_Cases'!$I4:$I657,"Not Implemented - Unplanned")</f>
        <v>0</v>
      </c>
      <c r="S132" s="59">
        <f t="shared" si="29"/>
        <v>0</v>
      </c>
      <c r="T132" s="60">
        <f>COUNTIFS('Self-Assessment_Cases'!$E$4:$E$657,"SC-31",'Self-Assessment_Cases'!$I4:$I657,"Not Applicable")</f>
        <v>0</v>
      </c>
      <c r="U132" s="61"/>
      <c r="V132" s="68" t="e">
        <f t="shared" si="30"/>
        <v>#DIV/0!</v>
      </c>
      <c r="W132" s="44">
        <f t="shared" si="31"/>
        <v>0</v>
      </c>
    </row>
    <row r="133" spans="1:23" ht="15" customHeight="1" x14ac:dyDescent="0.2">
      <c r="A133" s="45" t="s">
        <v>196</v>
      </c>
      <c r="B133" s="46">
        <f>COUNTIFS('Self-Assessment_Cases'!$E$4:$E$657,"SC-5",'Self-Assessment_Cases'!$I4:$I657,"Implemented")</f>
        <v>0</v>
      </c>
      <c r="C133" s="63">
        <f t="shared" ref="C133:C141" si="42">B133*5</f>
        <v>0</v>
      </c>
      <c r="D133" s="47">
        <f>COUNTIFS('Self-Assessment_Cases'!$E$4:$E$657,"SC-5",'Self-Assessment_Cases'!$I4:$I657,"In Progress - Administrative")</f>
        <v>0</v>
      </c>
      <c r="E133" s="64">
        <f t="shared" ref="E133:E141" si="43">D133*3</f>
        <v>0</v>
      </c>
      <c r="F133" s="62">
        <f>COUNTIFS('Self-Assessment_Cases'!$E$4:$E$657,"SC-5",'Self-Assessment_Cases'!$I4:$I657,"In Progress - Configuration")</f>
        <v>0</v>
      </c>
      <c r="G133" s="65">
        <f t="shared" ref="G133:G141" si="44">F133*3</f>
        <v>0</v>
      </c>
      <c r="H133" s="48">
        <f>COUNTIFS('Self-Assessment_Cases'!$E$4:$E$657,"SC-5",'Self-Assessment_Cases'!$I4:$I657,"In Progress - Installation/Upgrade")</f>
        <v>0</v>
      </c>
      <c r="I133" s="66">
        <f t="shared" ref="I133:I141" si="45">H133*3</f>
        <v>0</v>
      </c>
      <c r="J133" s="49">
        <f>COUNTIFS('Self-Assessment_Cases'!$E$4:$E$657,"SC-5",'Self-Assessment_Cases'!$I4:$I657,"Not Implemented - Compensating Control")</f>
        <v>0</v>
      </c>
      <c r="K133" s="67">
        <f t="shared" ref="K133:K141" si="46">J133*5</f>
        <v>0</v>
      </c>
      <c r="L133" s="50">
        <f>COUNTIFS('Self-Assessment_Cases'!$E$4:$E$657,"SC-5",'Self-Assessment_Cases'!$I4:$I657,"Not Implemented - Risk Negligible")</f>
        <v>0</v>
      </c>
      <c r="M133" s="56">
        <f t="shared" ref="M133:M141" si="47">L133*5</f>
        <v>0</v>
      </c>
      <c r="N133" s="57">
        <f>COUNTIFS('Self-Assessment_Cases'!$E$4:$E$657,"SC-5",'Self-Assessment_Cases'!$I4:$I657,"Not Implemented - Risk Accepted")</f>
        <v>0</v>
      </c>
      <c r="O133" s="57">
        <f t="shared" ref="O133:O141" si="48">N133</f>
        <v>0</v>
      </c>
      <c r="P133" s="58">
        <f>COUNTIFS('Self-Assessment_Cases'!$E$4:$E$657,"SC-5",'Self-Assessment_Cases'!$I4:$I657,"Not Implemented - Planned")</f>
        <v>0</v>
      </c>
      <c r="Q133" s="58">
        <f t="shared" ref="Q133:Q141" si="49">P133</f>
        <v>0</v>
      </c>
      <c r="R133" s="59">
        <f>COUNTIFS('Self-Assessment_Cases'!$E$4:$E$657,"SC-5",'Self-Assessment_Cases'!$I4:$I657,"Not Implemented - Unplanned")</f>
        <v>0</v>
      </c>
      <c r="S133" s="59">
        <f t="shared" ref="S133:S141" si="50">R133</f>
        <v>0</v>
      </c>
      <c r="T133" s="60">
        <f>COUNTIFS('Self-Assessment_Cases'!$E$4:$E$657,"SC-5",'Self-Assessment_Cases'!$I4:$I657,"Not Applicable")</f>
        <v>0</v>
      </c>
      <c r="U133" s="61"/>
      <c r="V133" s="68" t="e">
        <f t="shared" ref="V133:V141" si="51">(C133+E133+G133+I133+K133+M133+O133+Q133+S133)/W133</f>
        <v>#DIV/0!</v>
      </c>
      <c r="W133" s="44">
        <f t="shared" ref="W133:W141" si="52">(B133+D133+F133+H133+J133+L133+N133+P133+R133)*5</f>
        <v>0</v>
      </c>
    </row>
    <row r="134" spans="1:23" x14ac:dyDescent="0.2">
      <c r="A134" s="45" t="s">
        <v>198</v>
      </c>
      <c r="B134" s="46">
        <f>COUNTIFS('Self-Assessment_Cases'!$E$4:$E$657,"SC-7",'Self-Assessment_Cases'!$I4:$I657,"Implemented")</f>
        <v>0</v>
      </c>
      <c r="C134" s="63">
        <f t="shared" si="42"/>
        <v>0</v>
      </c>
      <c r="D134" s="47">
        <f>COUNTIFS('Self-Assessment_Cases'!$E$4:$E$657,"SC-7",'Self-Assessment_Cases'!$I4:$I657,"In Progress - Administrative")</f>
        <v>0</v>
      </c>
      <c r="E134" s="64">
        <f t="shared" si="43"/>
        <v>0</v>
      </c>
      <c r="F134" s="62">
        <f>COUNTIFS('Self-Assessment_Cases'!$E$4:$E$657,"SC-7",'Self-Assessment_Cases'!$I4:$I657,"In Progress - Configuration")</f>
        <v>0</v>
      </c>
      <c r="G134" s="65">
        <f t="shared" si="44"/>
        <v>0</v>
      </c>
      <c r="H134" s="48">
        <f>COUNTIFS('Self-Assessment_Cases'!$E$4:$E$657,"SC-7",'Self-Assessment_Cases'!$I4:$I657,"In Progress - Installation/Upgrade")</f>
        <v>0</v>
      </c>
      <c r="I134" s="66">
        <f t="shared" si="45"/>
        <v>0</v>
      </c>
      <c r="J134" s="49">
        <f>COUNTIFS('Self-Assessment_Cases'!$E$4:$E$657,"SC-7",'Self-Assessment_Cases'!$I4:$I657,"Not Implemented - Compensating Control")</f>
        <v>0</v>
      </c>
      <c r="K134" s="67">
        <f t="shared" si="46"/>
        <v>0</v>
      </c>
      <c r="L134" s="50">
        <f>COUNTIFS('Self-Assessment_Cases'!$E$4:$E$657,"SC-7",'Self-Assessment_Cases'!$I4:$I657,"Not Implemented - Risk Negligible")</f>
        <v>0</v>
      </c>
      <c r="M134" s="56">
        <f t="shared" si="47"/>
        <v>0</v>
      </c>
      <c r="N134" s="57">
        <f>COUNTIFS('Self-Assessment_Cases'!$E$4:$E$657,"SC-7",'Self-Assessment_Cases'!$I4:$I657,"Not Implemented - Risk Accepted")</f>
        <v>0</v>
      </c>
      <c r="O134" s="57">
        <f t="shared" si="48"/>
        <v>0</v>
      </c>
      <c r="P134" s="58">
        <f>COUNTIFS('Self-Assessment_Cases'!$E$4:$E$657,"SC-7",'Self-Assessment_Cases'!$I4:$I657,"Not Implemented - Planned")</f>
        <v>0</v>
      </c>
      <c r="Q134" s="58">
        <f t="shared" si="49"/>
        <v>0</v>
      </c>
      <c r="R134" s="59">
        <f>COUNTIFS('Self-Assessment_Cases'!$E$4:$E$657,"SC-7",'Self-Assessment_Cases'!$I4:$I657,"Not Implemented - Unplanned")</f>
        <v>0</v>
      </c>
      <c r="S134" s="59">
        <f t="shared" si="50"/>
        <v>0</v>
      </c>
      <c r="T134" s="60">
        <f>COUNTIFS('Self-Assessment_Cases'!$E$4:$E$657,"SC-7",'Self-Assessment_Cases'!$I4:$I657,"Not Applicable")</f>
        <v>0</v>
      </c>
      <c r="U134" s="61"/>
      <c r="V134" s="68" t="e">
        <f t="shared" si="51"/>
        <v>#DIV/0!</v>
      </c>
      <c r="W134" s="44">
        <f t="shared" si="52"/>
        <v>0</v>
      </c>
    </row>
    <row r="135" spans="1:23" x14ac:dyDescent="0.2">
      <c r="A135" s="45" t="s">
        <v>200</v>
      </c>
      <c r="B135" s="46">
        <f>COUNTIFS('Self-Assessment_Cases'!$E$4:$E$657,"SC-8",'Self-Assessment_Cases'!$I4:$I657,"Implemented")</f>
        <v>0</v>
      </c>
      <c r="C135" s="63">
        <f t="shared" si="42"/>
        <v>0</v>
      </c>
      <c r="D135" s="47">
        <f>COUNTIFS('Self-Assessment_Cases'!$E$4:$E$657,"SC-8",'Self-Assessment_Cases'!$I4:$I657,"In Progress - Administrative")</f>
        <v>0</v>
      </c>
      <c r="E135" s="64">
        <f t="shared" si="43"/>
        <v>0</v>
      </c>
      <c r="F135" s="62">
        <f>COUNTIFS('Self-Assessment_Cases'!$E$4:$E$657,"SC-8",'Self-Assessment_Cases'!$I4:$I657,"In Progress - Configuration")</f>
        <v>0</v>
      </c>
      <c r="G135" s="65">
        <f t="shared" si="44"/>
        <v>0</v>
      </c>
      <c r="H135" s="48">
        <f>COUNTIFS('Self-Assessment_Cases'!$E$4:$E$657,"SC-8",'Self-Assessment_Cases'!$I4:$I657,"In Progress - Installation/Upgrade")</f>
        <v>0</v>
      </c>
      <c r="I135" s="66">
        <f t="shared" si="45"/>
        <v>0</v>
      </c>
      <c r="J135" s="49">
        <f>COUNTIFS('Self-Assessment_Cases'!$E$4:$E$657,"SC-8",'Self-Assessment_Cases'!$I4:$I657,"Not Implemented - Compensating Control")</f>
        <v>0</v>
      </c>
      <c r="K135" s="67">
        <f t="shared" si="46"/>
        <v>0</v>
      </c>
      <c r="L135" s="50">
        <f>COUNTIFS('Self-Assessment_Cases'!$E$4:$E$657,"SC-8",'Self-Assessment_Cases'!$I4:$I657,"Not Implemented - Risk Negligible")</f>
        <v>0</v>
      </c>
      <c r="M135" s="56">
        <f t="shared" si="47"/>
        <v>0</v>
      </c>
      <c r="N135" s="57">
        <f>COUNTIFS('Self-Assessment_Cases'!$E$4:$E$657,"SC-8",'Self-Assessment_Cases'!$I4:$I657,"Not Implemented - Risk Accepted")</f>
        <v>0</v>
      </c>
      <c r="O135" s="57">
        <f t="shared" si="48"/>
        <v>0</v>
      </c>
      <c r="P135" s="58">
        <f>COUNTIFS('Self-Assessment_Cases'!$E$4:$E$657,"SC-8",'Self-Assessment_Cases'!$I4:$I657,"Not Implemented - Planned")</f>
        <v>0</v>
      </c>
      <c r="Q135" s="58">
        <f t="shared" si="49"/>
        <v>0</v>
      </c>
      <c r="R135" s="59">
        <f>COUNTIFS('Self-Assessment_Cases'!$E$4:$E$657,"SC-8",'Self-Assessment_Cases'!$I4:$I657,"Not Implemented - Unplanned")</f>
        <v>0</v>
      </c>
      <c r="S135" s="59">
        <f t="shared" si="50"/>
        <v>0</v>
      </c>
      <c r="T135" s="60">
        <f>COUNTIFS('Self-Assessment_Cases'!$E$4:$E$657,"SC-8",'Self-Assessment_Cases'!$I4:$I657,"Not Applicable")</f>
        <v>0</v>
      </c>
      <c r="U135" s="61"/>
      <c r="V135" s="68" t="e">
        <f t="shared" si="51"/>
        <v>#DIV/0!</v>
      </c>
      <c r="W135" s="44">
        <f t="shared" si="52"/>
        <v>0</v>
      </c>
    </row>
    <row r="136" spans="1:23" x14ac:dyDescent="0.2">
      <c r="A136" s="45" t="s">
        <v>208</v>
      </c>
      <c r="B136" s="46">
        <f>COUNTIFS('Self-Assessment_Cases'!$E$4:$E$657,"SI-1",'Self-Assessment_Cases'!$I4:$I657,"Implemented")</f>
        <v>0</v>
      </c>
      <c r="C136" s="63">
        <f t="shared" si="42"/>
        <v>0</v>
      </c>
      <c r="D136" s="47">
        <f>COUNTIFS('Self-Assessment_Cases'!$E$4:$E$657,"SI-1",'Self-Assessment_Cases'!$I4:$I657,"In Progress - Administrative")</f>
        <v>0</v>
      </c>
      <c r="E136" s="64">
        <f t="shared" si="43"/>
        <v>0</v>
      </c>
      <c r="F136" s="62">
        <f>COUNTIFS('Self-Assessment_Cases'!$E$4:$E$657,"SI-1",'Self-Assessment_Cases'!$I4:$I657,"In Progress - Configuration")</f>
        <v>0</v>
      </c>
      <c r="G136" s="65">
        <f t="shared" si="44"/>
        <v>0</v>
      </c>
      <c r="H136" s="48">
        <f>COUNTIFS('Self-Assessment_Cases'!$E$4:$E$657,"SI-1",'Self-Assessment_Cases'!$I4:$I657,"In Progress - Installation/Upgrade")</f>
        <v>0</v>
      </c>
      <c r="I136" s="66">
        <f t="shared" si="45"/>
        <v>0</v>
      </c>
      <c r="J136" s="49">
        <f>COUNTIFS('Self-Assessment_Cases'!$E$4:$E$657,"SI-1",'Self-Assessment_Cases'!$I4:$I657,"Not Implemented - Compensating Control")</f>
        <v>0</v>
      </c>
      <c r="K136" s="67">
        <f t="shared" si="46"/>
        <v>0</v>
      </c>
      <c r="L136" s="50">
        <f>COUNTIFS('Self-Assessment_Cases'!$E$4:$E$657,"SI-1",'Self-Assessment_Cases'!$I4:$I657,"Not Implemented - Risk Negligible")</f>
        <v>0</v>
      </c>
      <c r="M136" s="56">
        <f t="shared" si="47"/>
        <v>0</v>
      </c>
      <c r="N136" s="57">
        <f>COUNTIFS('Self-Assessment_Cases'!$E$4:$E$657,"SI-1",'Self-Assessment_Cases'!$I4:$I657,"Not Implemented - Risk Accepted")</f>
        <v>0</v>
      </c>
      <c r="O136" s="57">
        <f t="shared" si="48"/>
        <v>0</v>
      </c>
      <c r="P136" s="58">
        <f>COUNTIFS('Self-Assessment_Cases'!$E$4:$E$657,"SI-1",'Self-Assessment_Cases'!$I4:$I657,"Not Implemented - Planned")</f>
        <v>0</v>
      </c>
      <c r="Q136" s="58">
        <f t="shared" si="49"/>
        <v>0</v>
      </c>
      <c r="R136" s="59">
        <f>COUNTIFS('Self-Assessment_Cases'!$E$4:$E$657,"SI-1",'Self-Assessment_Cases'!$I4:$I657,"Not Implemented - Unplanned")</f>
        <v>0</v>
      </c>
      <c r="S136" s="59">
        <f t="shared" si="50"/>
        <v>0</v>
      </c>
      <c r="T136" s="60">
        <f>COUNTIFS('Self-Assessment_Cases'!$E$4:$E$657,"SI-1",'Self-Assessment_Cases'!$I4:$I657,"Not Applicable")</f>
        <v>0</v>
      </c>
      <c r="U136" s="61"/>
      <c r="V136" s="68" t="e">
        <f t="shared" si="51"/>
        <v>#DIV/0!</v>
      </c>
      <c r="W136" s="44">
        <f t="shared" si="52"/>
        <v>0</v>
      </c>
    </row>
    <row r="137" spans="1:23" x14ac:dyDescent="0.2">
      <c r="A137" s="45" t="s">
        <v>210</v>
      </c>
      <c r="B137" s="46">
        <f>COUNTIFS('Self-Assessment_Cases'!$E$4:$E$657,"SI-2",'Self-Assessment_Cases'!$I4:$I657,"Implemented")</f>
        <v>0</v>
      </c>
      <c r="C137" s="63">
        <f t="shared" si="42"/>
        <v>0</v>
      </c>
      <c r="D137" s="47">
        <f>COUNTIFS('Self-Assessment_Cases'!$E$4:$E$657,"SI-2",'Self-Assessment_Cases'!$I4:$I657,"In Progress - Administrative")</f>
        <v>0</v>
      </c>
      <c r="E137" s="64">
        <f t="shared" si="43"/>
        <v>0</v>
      </c>
      <c r="F137" s="62">
        <f>COUNTIFS('Self-Assessment_Cases'!$E$4:$E$657,"SI-2",'Self-Assessment_Cases'!$I4:$I657,"In Progress - Configuration")</f>
        <v>0</v>
      </c>
      <c r="G137" s="65">
        <f t="shared" si="44"/>
        <v>0</v>
      </c>
      <c r="H137" s="48">
        <f>COUNTIFS('Self-Assessment_Cases'!$E$4:$E$657,"SI-2",'Self-Assessment_Cases'!$I4:$I657,"In Progress - Installation/Upgrade")</f>
        <v>0</v>
      </c>
      <c r="I137" s="66">
        <f t="shared" si="45"/>
        <v>0</v>
      </c>
      <c r="J137" s="49">
        <f>COUNTIFS('Self-Assessment_Cases'!$E$4:$E$657,"SI-2",'Self-Assessment_Cases'!$I4:$I657,"Not Implemented - Compensating Control")</f>
        <v>0</v>
      </c>
      <c r="K137" s="67">
        <f t="shared" si="46"/>
        <v>0</v>
      </c>
      <c r="L137" s="50">
        <f>COUNTIFS('Self-Assessment_Cases'!$E$4:$E$657,"SI-2",'Self-Assessment_Cases'!$I4:$I657,"Not Implemented - Risk Negligible")</f>
        <v>0</v>
      </c>
      <c r="M137" s="56">
        <f t="shared" si="47"/>
        <v>0</v>
      </c>
      <c r="N137" s="57">
        <f>COUNTIFS('Self-Assessment_Cases'!$E$4:$E$657,"SI-2",'Self-Assessment_Cases'!$I4:$I657,"Not Implemented - Risk Accepted")</f>
        <v>0</v>
      </c>
      <c r="O137" s="57">
        <f t="shared" si="48"/>
        <v>0</v>
      </c>
      <c r="P137" s="58">
        <f>COUNTIFS('Self-Assessment_Cases'!$E$4:$E$657,"SI-2",'Self-Assessment_Cases'!$I4:$I657,"Not Implemented - Planned")</f>
        <v>0</v>
      </c>
      <c r="Q137" s="58">
        <f t="shared" si="49"/>
        <v>0</v>
      </c>
      <c r="R137" s="59">
        <f>COUNTIFS('Self-Assessment_Cases'!$E$4:$E$657,"SI-2",'Self-Assessment_Cases'!$I4:$I657,"Not Implemented - Unplanned")</f>
        <v>0</v>
      </c>
      <c r="S137" s="59">
        <f t="shared" si="50"/>
        <v>0</v>
      </c>
      <c r="T137" s="60">
        <f>COUNTIFS('Self-Assessment_Cases'!$E$4:$E$657,"SI-2",'Self-Assessment_Cases'!$I4:$I657,"Not Applicable")</f>
        <v>0</v>
      </c>
      <c r="U137" s="61"/>
      <c r="V137" s="68" t="e">
        <f t="shared" si="51"/>
        <v>#DIV/0!</v>
      </c>
      <c r="W137" s="44">
        <f t="shared" si="52"/>
        <v>0</v>
      </c>
    </row>
    <row r="138" spans="1:23" x14ac:dyDescent="0.2">
      <c r="A138" s="45" t="s">
        <v>212</v>
      </c>
      <c r="B138" s="46">
        <f>COUNTIFS('Self-Assessment_Cases'!$E$4:$E$657,"SI-3",'Self-Assessment_Cases'!$I4:$I657,"Implemented")</f>
        <v>0</v>
      </c>
      <c r="C138" s="63">
        <f t="shared" si="42"/>
        <v>0</v>
      </c>
      <c r="D138" s="47">
        <f>COUNTIFS('Self-Assessment_Cases'!$E$4:$E$657,"SI-3",'Self-Assessment_Cases'!$I4:$I657,"In Progress - Administrative")</f>
        <v>0</v>
      </c>
      <c r="E138" s="64">
        <f t="shared" si="43"/>
        <v>0</v>
      </c>
      <c r="F138" s="62">
        <f>COUNTIFS('Self-Assessment_Cases'!$E$4:$E$657,"SI-3",'Self-Assessment_Cases'!$I4:$I657,"In Progress - Configuration")</f>
        <v>0</v>
      </c>
      <c r="G138" s="65">
        <f t="shared" si="44"/>
        <v>0</v>
      </c>
      <c r="H138" s="48">
        <f>COUNTIFS('Self-Assessment_Cases'!$E$4:$E$657,"SI-3",'Self-Assessment_Cases'!$I4:$I657,"In Progress - Installation/Upgrade")</f>
        <v>0</v>
      </c>
      <c r="I138" s="66">
        <f t="shared" si="45"/>
        <v>0</v>
      </c>
      <c r="J138" s="49">
        <f>COUNTIFS('Self-Assessment_Cases'!$E$4:$E$657,"SI-3",'Self-Assessment_Cases'!$I4:$I657,"Not Implemented - Compensating Control")</f>
        <v>0</v>
      </c>
      <c r="K138" s="67">
        <f t="shared" si="46"/>
        <v>0</v>
      </c>
      <c r="L138" s="50">
        <f>COUNTIFS('Self-Assessment_Cases'!$E$4:$E$657,"SI-3",'Self-Assessment_Cases'!$I4:$I657,"Not Implemented - Risk Negligible")</f>
        <v>0</v>
      </c>
      <c r="M138" s="56">
        <f t="shared" si="47"/>
        <v>0</v>
      </c>
      <c r="N138" s="57">
        <f>COUNTIFS('Self-Assessment_Cases'!$E$4:$E$657,"SI-3",'Self-Assessment_Cases'!$I4:$I657,"Not Implemented - Risk Accepted")</f>
        <v>0</v>
      </c>
      <c r="O138" s="57">
        <f t="shared" si="48"/>
        <v>0</v>
      </c>
      <c r="P138" s="58">
        <f>COUNTIFS('Self-Assessment_Cases'!$E$4:$E$657,"SI-3",'Self-Assessment_Cases'!$I4:$I657,"Not Implemented - Planned")</f>
        <v>0</v>
      </c>
      <c r="Q138" s="58">
        <f t="shared" si="49"/>
        <v>0</v>
      </c>
      <c r="R138" s="59">
        <f>COUNTIFS('Self-Assessment_Cases'!$E$4:$E$657,"SI-3",'Self-Assessment_Cases'!$I4:$I657,"Not Implemented - Unplanned")</f>
        <v>0</v>
      </c>
      <c r="S138" s="59">
        <f t="shared" si="50"/>
        <v>0</v>
      </c>
      <c r="T138" s="60">
        <f>COUNTIFS('Self-Assessment_Cases'!$E$4:$E$657,"SI-3",'Self-Assessment_Cases'!$I4:$I657,"Not Applicable")</f>
        <v>0</v>
      </c>
      <c r="U138" s="61"/>
      <c r="V138" s="68" t="e">
        <f t="shared" si="51"/>
        <v>#DIV/0!</v>
      </c>
      <c r="W138" s="44">
        <f t="shared" si="52"/>
        <v>0</v>
      </c>
    </row>
    <row r="139" spans="1:23" x14ac:dyDescent="0.2">
      <c r="A139" s="45" t="s">
        <v>214</v>
      </c>
      <c r="B139" s="46">
        <f>COUNTIFS('Self-Assessment_Cases'!$E$4:$E$657,"SI-4",'Self-Assessment_Cases'!$I4:$I657,"Implemented")</f>
        <v>0</v>
      </c>
      <c r="C139" s="63">
        <f t="shared" si="42"/>
        <v>0</v>
      </c>
      <c r="D139" s="47">
        <f>COUNTIFS('Self-Assessment_Cases'!$E$4:$E$657,"SI-4",'Self-Assessment_Cases'!$I4:$I657,"In Progress - Administrative")</f>
        <v>0</v>
      </c>
      <c r="E139" s="64">
        <f t="shared" si="43"/>
        <v>0</v>
      </c>
      <c r="F139" s="62">
        <f>COUNTIFS('Self-Assessment_Cases'!$E$4:$E$657,"SI-4",'Self-Assessment_Cases'!$I4:$I657,"In Progress - Configuration")</f>
        <v>0</v>
      </c>
      <c r="G139" s="65">
        <f t="shared" si="44"/>
        <v>0</v>
      </c>
      <c r="H139" s="48">
        <f>COUNTIFS('Self-Assessment_Cases'!$E$4:$E$657,"SI-4",'Self-Assessment_Cases'!$I4:$I657,"In Progress - Installation/Upgrade")</f>
        <v>0</v>
      </c>
      <c r="I139" s="66">
        <f t="shared" si="45"/>
        <v>0</v>
      </c>
      <c r="J139" s="49">
        <f>COUNTIFS('Self-Assessment_Cases'!$E$4:$E$657,"SI-4",'Self-Assessment_Cases'!$I4:$I657,"Not Implemented - Compensating Control")</f>
        <v>0</v>
      </c>
      <c r="K139" s="67">
        <f t="shared" si="46"/>
        <v>0</v>
      </c>
      <c r="L139" s="50">
        <f>COUNTIFS('Self-Assessment_Cases'!$E$4:$E$657,"SI-4",'Self-Assessment_Cases'!$I4:$I657,"Not Implemented - Risk Negligible")</f>
        <v>0</v>
      </c>
      <c r="M139" s="56">
        <f t="shared" si="47"/>
        <v>0</v>
      </c>
      <c r="N139" s="57">
        <f>COUNTIFS('Self-Assessment_Cases'!$E$4:$E$657,"SI-4",'Self-Assessment_Cases'!$I4:$I657,"Not Implemented - Risk Accepted")</f>
        <v>0</v>
      </c>
      <c r="O139" s="57">
        <f t="shared" si="48"/>
        <v>0</v>
      </c>
      <c r="P139" s="58">
        <f>COUNTIFS('Self-Assessment_Cases'!$E$4:$E$657,"SI-4",'Self-Assessment_Cases'!$I4:$I657,"Not Implemented - Planned")</f>
        <v>0</v>
      </c>
      <c r="Q139" s="58">
        <f t="shared" si="49"/>
        <v>0</v>
      </c>
      <c r="R139" s="59">
        <f>COUNTIFS('Self-Assessment_Cases'!$E$4:$E$657,"SI-4",'Self-Assessment_Cases'!$I4:$I657,"Not Implemented - Unplanned")</f>
        <v>0</v>
      </c>
      <c r="S139" s="59">
        <f t="shared" si="50"/>
        <v>0</v>
      </c>
      <c r="T139" s="60">
        <f>COUNTIFS('Self-Assessment_Cases'!$E$4:$E$657,"SI-4",'Self-Assessment_Cases'!$I4:$I657,"Not Applicable")</f>
        <v>0</v>
      </c>
      <c r="U139" s="61"/>
      <c r="V139" s="68" t="e">
        <f t="shared" si="51"/>
        <v>#DIV/0!</v>
      </c>
      <c r="W139" s="44">
        <f t="shared" si="52"/>
        <v>0</v>
      </c>
    </row>
    <row r="140" spans="1:23" x14ac:dyDescent="0.2">
      <c r="A140" s="45" t="s">
        <v>216</v>
      </c>
      <c r="B140" s="46">
        <f>COUNTIFS('Self-Assessment_Cases'!$E$4:$E$657,"SI-5",'Self-Assessment_Cases'!$I4:$I657,"Implemented")</f>
        <v>0</v>
      </c>
      <c r="C140" s="63">
        <f t="shared" si="42"/>
        <v>0</v>
      </c>
      <c r="D140" s="47">
        <f>COUNTIFS('Self-Assessment_Cases'!$E$4:$E$657,"SI-5",'Self-Assessment_Cases'!$I4:$I657,"In Progress - Administrative")</f>
        <v>0</v>
      </c>
      <c r="E140" s="64">
        <f t="shared" si="43"/>
        <v>0</v>
      </c>
      <c r="F140" s="62">
        <f>COUNTIFS('Self-Assessment_Cases'!$E$4:$E$657,"SI-5",'Self-Assessment_Cases'!$I4:$I657,"In Progress - Configuration")</f>
        <v>0</v>
      </c>
      <c r="G140" s="65">
        <f t="shared" si="44"/>
        <v>0</v>
      </c>
      <c r="H140" s="48">
        <f>COUNTIFS('Self-Assessment_Cases'!$E$4:$E$657,"SI-5",'Self-Assessment_Cases'!$I4:$I657,"In Progress - Installation/Upgrade")</f>
        <v>0</v>
      </c>
      <c r="I140" s="66">
        <f t="shared" si="45"/>
        <v>0</v>
      </c>
      <c r="J140" s="49">
        <f>COUNTIFS('Self-Assessment_Cases'!$E$4:$E$657,"SI-5",'Self-Assessment_Cases'!$I4:$I657,"Not Implemented - Compensating Control")</f>
        <v>0</v>
      </c>
      <c r="K140" s="67">
        <f t="shared" si="46"/>
        <v>0</v>
      </c>
      <c r="L140" s="50">
        <f>COUNTIFS('Self-Assessment_Cases'!$E$4:$E$657,"SI-5",'Self-Assessment_Cases'!$I4:$I657,"Not Implemented - Risk Negligible")</f>
        <v>0</v>
      </c>
      <c r="M140" s="56">
        <f t="shared" si="47"/>
        <v>0</v>
      </c>
      <c r="N140" s="57">
        <f>COUNTIFS('Self-Assessment_Cases'!$E$4:$E$657,"SI-5",'Self-Assessment_Cases'!$I4:$I657,"Not Implemented - Risk Accepted")</f>
        <v>0</v>
      </c>
      <c r="O140" s="57">
        <f t="shared" si="48"/>
        <v>0</v>
      </c>
      <c r="P140" s="58">
        <f>COUNTIFS('Self-Assessment_Cases'!$E$4:$E$657,"SI-5",'Self-Assessment_Cases'!$I4:$I657,"Not Implemented - Planned")</f>
        <v>0</v>
      </c>
      <c r="Q140" s="58">
        <f t="shared" si="49"/>
        <v>0</v>
      </c>
      <c r="R140" s="59">
        <f>COUNTIFS('Self-Assessment_Cases'!$E$4:$E$657,"SI-5",'Self-Assessment_Cases'!$I4:$I657,"Not Implemented - Unplanned")</f>
        <v>0</v>
      </c>
      <c r="S140" s="59">
        <f t="shared" si="50"/>
        <v>0</v>
      </c>
      <c r="T140" s="60">
        <f>COUNTIFS('Self-Assessment_Cases'!$E$4:$E$657,"SI-5",'Self-Assessment_Cases'!$I4:$I657,"Not Applicable")</f>
        <v>0</v>
      </c>
      <c r="U140" s="61"/>
      <c r="V140" s="68" t="e">
        <f t="shared" si="51"/>
        <v>#DIV/0!</v>
      </c>
      <c r="W140" s="44">
        <f t="shared" si="52"/>
        <v>0</v>
      </c>
    </row>
    <row r="141" spans="1:23" ht="15" customHeight="1" x14ac:dyDescent="0.2">
      <c r="A141" s="45" t="s">
        <v>218</v>
      </c>
      <c r="B141" s="46">
        <f>COUNTIFS('Self-Assessment_Cases'!$E$4:$E$657,"SI-7",'Self-Assessment_Cases'!$I4:$I657,"Implemented")</f>
        <v>0</v>
      </c>
      <c r="C141" s="63">
        <f t="shared" si="42"/>
        <v>0</v>
      </c>
      <c r="D141" s="47">
        <f>COUNTIFS('Self-Assessment_Cases'!$E$4:$E$657,"SI-7",'Self-Assessment_Cases'!$I4:$I657,"In Progress - Administrative")</f>
        <v>0</v>
      </c>
      <c r="E141" s="64">
        <f t="shared" si="43"/>
        <v>0</v>
      </c>
      <c r="F141" s="62">
        <f>COUNTIFS('Self-Assessment_Cases'!$E$4:$E$657,"SI-7",'Self-Assessment_Cases'!$I4:$I657,"In Progress - Configuration")</f>
        <v>0</v>
      </c>
      <c r="G141" s="65">
        <f t="shared" si="44"/>
        <v>0</v>
      </c>
      <c r="H141" s="48">
        <f>COUNTIFS('Self-Assessment_Cases'!$E$4:$E$657,"SI-7",'Self-Assessment_Cases'!$I4:$I657,"In Progress - Installation/Upgrade")</f>
        <v>0</v>
      </c>
      <c r="I141" s="66">
        <f t="shared" si="45"/>
        <v>0</v>
      </c>
      <c r="J141" s="49">
        <f>COUNTIFS('Self-Assessment_Cases'!$E$4:$E$657,"SI-7",'Self-Assessment_Cases'!$I4:$I657,"Not Implemented - Compensating Control")</f>
        <v>0</v>
      </c>
      <c r="K141" s="67">
        <f t="shared" si="46"/>
        <v>0</v>
      </c>
      <c r="L141" s="50">
        <f>COUNTIFS('Self-Assessment_Cases'!$E$4:$E$657,"SI-7",'Self-Assessment_Cases'!$I4:$I657,"Not Implemented - Risk Negligible")</f>
        <v>0</v>
      </c>
      <c r="M141" s="56">
        <f t="shared" si="47"/>
        <v>0</v>
      </c>
      <c r="N141" s="57">
        <f>COUNTIFS('Self-Assessment_Cases'!$E$4:$E$657,"SI-7",'Self-Assessment_Cases'!$I4:$I657,"Not Implemented - Risk Accepted")</f>
        <v>0</v>
      </c>
      <c r="O141" s="57">
        <f t="shared" si="48"/>
        <v>0</v>
      </c>
      <c r="P141" s="58">
        <f>COUNTIFS('Self-Assessment_Cases'!$E$4:$E$657,"SI-7",'Self-Assessment_Cases'!$I4:$I657,"Not Implemented - Planned")</f>
        <v>0</v>
      </c>
      <c r="Q141" s="58">
        <f t="shared" si="49"/>
        <v>0</v>
      </c>
      <c r="R141" s="59">
        <f>COUNTIFS('Self-Assessment_Cases'!$E$4:$E$657,"SI-7",'Self-Assessment_Cases'!$I4:$I657,"Not Implemented - Unplanned")</f>
        <v>0</v>
      </c>
      <c r="S141" s="59">
        <f t="shared" si="50"/>
        <v>0</v>
      </c>
      <c r="T141" s="60">
        <f>COUNTIFS('Self-Assessment_Cases'!$E$4:$E$657,"SI-7",'Self-Assessment_Cases'!$I4:$I657,"Not Applicable")</f>
        <v>0</v>
      </c>
      <c r="U141" s="61"/>
      <c r="V141" s="68" t="e">
        <f t="shared" si="51"/>
        <v>#DIV/0!</v>
      </c>
      <c r="W141" s="44">
        <f t="shared" si="52"/>
        <v>0</v>
      </c>
    </row>
  </sheetData>
  <autoFilter ref="A1:W14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9"/>
  <sheetViews>
    <sheetView workbookViewId="0">
      <pane ySplit="1" topLeftCell="A2" activePane="bottomLeft" state="frozen"/>
      <selection pane="bottomLeft" activeCell="I11" sqref="I11"/>
    </sheetView>
  </sheetViews>
  <sheetFormatPr baseColWidth="10" defaultColWidth="8.83203125" defaultRowHeight="15" x14ac:dyDescent="0.2"/>
  <cols>
    <col min="1" max="1" width="19.1640625" customWidth="1"/>
    <col min="2" max="2" width="13.1640625" bestFit="1" customWidth="1"/>
    <col min="3" max="3" width="9.33203125" bestFit="1" customWidth="1"/>
    <col min="6" max="6" width="14.6640625" hidden="1" customWidth="1"/>
    <col min="7" max="7" width="0" hidden="1" customWidth="1"/>
    <col min="8" max="8" width="11.6640625" customWidth="1"/>
    <col min="10" max="10" width="17.83203125" customWidth="1"/>
    <col min="12" max="12" width="15.5" hidden="1" customWidth="1"/>
    <col min="13" max="13" width="0" hidden="1" customWidth="1"/>
    <col min="14" max="14" width="13.83203125" hidden="1" customWidth="1"/>
    <col min="15" max="15" width="0" hidden="1" customWidth="1"/>
    <col min="16" max="16" width="12.6640625" hidden="1" customWidth="1"/>
    <col min="17" max="17" width="0" hidden="1" customWidth="1"/>
    <col min="18" max="18" width="13.33203125" hidden="1" customWidth="1"/>
    <col min="19" max="19" width="0" hidden="1" customWidth="1"/>
    <col min="20" max="20" width="12" customWidth="1"/>
  </cols>
  <sheetData>
    <row r="1" spans="1:23" ht="49" thickBot="1" x14ac:dyDescent="0.25">
      <c r="A1" s="42" t="s">
        <v>748</v>
      </c>
      <c r="B1" s="51" t="s">
        <v>661</v>
      </c>
      <c r="C1" s="43" t="s">
        <v>674</v>
      </c>
      <c r="D1" s="53" t="s">
        <v>668</v>
      </c>
      <c r="E1" s="43" t="s">
        <v>674</v>
      </c>
      <c r="F1" s="52" t="s">
        <v>670</v>
      </c>
      <c r="G1" s="43" t="s">
        <v>674</v>
      </c>
      <c r="H1" s="52" t="s">
        <v>672</v>
      </c>
      <c r="I1" s="43" t="s">
        <v>674</v>
      </c>
      <c r="J1" s="52" t="s">
        <v>663</v>
      </c>
      <c r="K1" s="43" t="s">
        <v>674</v>
      </c>
      <c r="L1" s="52" t="s">
        <v>686</v>
      </c>
      <c r="M1" s="52" t="s">
        <v>674</v>
      </c>
      <c r="N1" s="55" t="s">
        <v>662</v>
      </c>
      <c r="O1" s="54" t="s">
        <v>674</v>
      </c>
      <c r="P1" s="55" t="s">
        <v>675</v>
      </c>
      <c r="Q1" s="54" t="s">
        <v>674</v>
      </c>
      <c r="R1" s="55" t="s">
        <v>677</v>
      </c>
      <c r="S1" s="54" t="s">
        <v>674</v>
      </c>
      <c r="T1" s="55" t="s">
        <v>688</v>
      </c>
      <c r="U1" s="54"/>
      <c r="V1" s="69" t="s">
        <v>752</v>
      </c>
      <c r="W1" s="44"/>
    </row>
    <row r="2" spans="1:23" x14ac:dyDescent="0.2">
      <c r="A2" s="45" t="s">
        <v>1426</v>
      </c>
      <c r="B2" s="46" t="e">
        <f>COUNTIF('Self-Assessment_Cases'!#REF!,"*"&amp;A2&amp;"*")</f>
        <v>#REF!</v>
      </c>
      <c r="C2" s="63" t="e">
        <f>B2*5</f>
        <v>#REF!</v>
      </c>
      <c r="D2" s="47">
        <f>COUNTIFS('Self-Assessment_Cases'!$E$4:$E$657,"CCI-000001",'Self-Assessment_Cases'!$I4:$I657,"In Progress - Administrative")</f>
        <v>0</v>
      </c>
      <c r="E2" s="64">
        <f>D2*3</f>
        <v>0</v>
      </c>
      <c r="F2" s="62">
        <f>COUNTIFS('Self-Assessment_Cases'!$E$4:$E$657,"CCI-000001",'Self-Assessment_Cases'!$I4:$I657,"In Progress - Configuration")</f>
        <v>0</v>
      </c>
      <c r="G2" s="65">
        <f>F2*3</f>
        <v>0</v>
      </c>
      <c r="H2" s="48">
        <f>COUNTIFS('Self-Assessment_Cases'!$E$4:$E$657,"CCI-000001",'Self-Assessment_Cases'!$I4:$I657,"In Progress - Installation/Upgrade")</f>
        <v>0</v>
      </c>
      <c r="I2" s="66">
        <f>H2*3</f>
        <v>0</v>
      </c>
      <c r="J2" s="49">
        <f>COUNTIFS('Self-Assessment_Cases'!$E$4:$E$657,"CCI-000001",'Self-Assessment_Cases'!$I4:$I657,"Not Implemented - Compensating Control")</f>
        <v>0</v>
      </c>
      <c r="K2" s="67">
        <f>J2*5</f>
        <v>0</v>
      </c>
      <c r="L2" s="50">
        <f>COUNTIFS('Self-Assessment_Cases'!$E$4:$E$657,"CCI-000001",'Self-Assessment_Cases'!$I4:$I657,"Not Implemented - Risk Negligible")</f>
        <v>0</v>
      </c>
      <c r="M2" s="56">
        <f>L2*5</f>
        <v>0</v>
      </c>
      <c r="N2" s="57">
        <f>COUNTIFS('Self-Assessment_Cases'!$E$4:$E$657,"CCI-000001",'Self-Assessment_Cases'!$I4:$I657,"Not Implemented - Risk Accepted")</f>
        <v>0</v>
      </c>
      <c r="O2" s="57">
        <f>N2</f>
        <v>0</v>
      </c>
      <c r="P2" s="58">
        <f>COUNTIFS('Self-Assessment_Cases'!$E$4:$E$657,"CCI-000001",'Self-Assessment_Cases'!$I4:$I657,"Not Implemented - Planned")</f>
        <v>0</v>
      </c>
      <c r="Q2" s="58">
        <f>P2</f>
        <v>0</v>
      </c>
      <c r="R2" s="59">
        <f>COUNTIFS('Self-Assessment_Cases'!$E$4:$E$657,"CCI-000001",'Self-Assessment_Cases'!$I4:$I657,"Not Implemented - Unplanned")</f>
        <v>0</v>
      </c>
      <c r="S2" s="59">
        <f>R2</f>
        <v>0</v>
      </c>
      <c r="T2" s="60">
        <f>COUNTIFS('Self-Assessment_Cases'!$E$4:$E$657,"CCI-000001",'Self-Assessment_Cases'!$I4:$I657,"Not Applicable")</f>
        <v>0</v>
      </c>
      <c r="U2" s="61"/>
      <c r="V2" s="68" t="e">
        <f>(C2+E2+G2+I2+K2+M2+O2+Q2+S2)/W2</f>
        <v>#REF!</v>
      </c>
      <c r="W2" s="44" t="e">
        <f>(B2+D2+F2+H2+J2+L2+N2+P2+R2)*5</f>
        <v>#REF!</v>
      </c>
    </row>
    <row r="3" spans="1:23" ht="15" customHeight="1" x14ac:dyDescent="0.2">
      <c r="A3" s="45" t="s">
        <v>1427</v>
      </c>
      <c r="B3" s="46" t="e">
        <f>COUNTIF('Self-Assessment_Cases'!#REF!,"*"&amp;A3&amp;"*")</f>
        <v>#REF!</v>
      </c>
      <c r="C3" s="63" t="e">
        <f t="shared" ref="C3:C66" si="0">B3*5</f>
        <v>#REF!</v>
      </c>
      <c r="D3" s="47">
        <f>COUNTIFS('Self-Assessment_Cases'!$E$4:$E$657,"CCI-000004",'Self-Assessment_Cases'!$I4:$I657,"In Progress - Administrative")</f>
        <v>0</v>
      </c>
      <c r="E3" s="64">
        <f t="shared" ref="E3:E66" si="1">D3*3</f>
        <v>0</v>
      </c>
      <c r="F3" s="62">
        <f>COUNTIFS('Self-Assessment_Cases'!$E$4:$E$657,"CCI-000004",'Self-Assessment_Cases'!$I4:$I657,"In Progress - Configuration")</f>
        <v>0</v>
      </c>
      <c r="G3" s="65">
        <f t="shared" ref="G3:G66" si="2">F3*3</f>
        <v>0</v>
      </c>
      <c r="H3" s="48">
        <f>COUNTIFS('Self-Assessment_Cases'!$E$4:$E$657,"CCI-000004",'Self-Assessment_Cases'!$I4:$I657,"In Progress - Installation/Upgrade")</f>
        <v>0</v>
      </c>
      <c r="I3" s="66">
        <f t="shared" ref="I3:I66" si="3">H3*3</f>
        <v>0</v>
      </c>
      <c r="J3" s="49">
        <f>COUNTIFS('Self-Assessment_Cases'!$E$4:$E$657,"CCI-000004",'Self-Assessment_Cases'!$I4:$I657,"Not Implemented - Compensating Control")</f>
        <v>0</v>
      </c>
      <c r="K3" s="67">
        <f t="shared" ref="K3:K66" si="4">J3*5</f>
        <v>0</v>
      </c>
      <c r="L3" s="50">
        <f>COUNTIFS('Self-Assessment_Cases'!$E$4:$E$657,"CCI-000004",'Self-Assessment_Cases'!$I4:$I657,"Not Implemented - Risk Negligible")</f>
        <v>0</v>
      </c>
      <c r="M3" s="56">
        <f t="shared" ref="M3:M66" si="5">L3*5</f>
        <v>0</v>
      </c>
      <c r="N3" s="57">
        <f>COUNTIFS('Self-Assessment_Cases'!$E$4:$E$657,"CCI-000004",'Self-Assessment_Cases'!$I4:$I657,"Not Implemented - Risk Accepted")</f>
        <v>0</v>
      </c>
      <c r="O3" s="57">
        <f t="shared" ref="O3:O66" si="6">N3</f>
        <v>0</v>
      </c>
      <c r="P3" s="58">
        <f>COUNTIFS('Self-Assessment_Cases'!$E$4:$E$657,"CCI-000004",'Self-Assessment_Cases'!$I4:$I657,"Not Implemented - Planned")</f>
        <v>0</v>
      </c>
      <c r="Q3" s="58">
        <f t="shared" ref="Q3:Q66" si="7">P3</f>
        <v>0</v>
      </c>
      <c r="R3" s="59">
        <f>COUNTIFS('Self-Assessment_Cases'!$E$4:$E$657,"CCI-000004",'Self-Assessment_Cases'!$I4:$I657,"Not Implemented - Unplanned")</f>
        <v>0</v>
      </c>
      <c r="S3" s="59">
        <f t="shared" ref="S3:S66" si="8">R3</f>
        <v>0</v>
      </c>
      <c r="T3" s="60">
        <f>COUNTIFS('Self-Assessment_Cases'!$E$4:$E$657,"CCI-000004",'Self-Assessment_Cases'!$I4:$I657,"Not Applicable")</f>
        <v>0</v>
      </c>
      <c r="U3" s="61"/>
      <c r="V3" s="68" t="e">
        <f t="shared" ref="V3:V66" si="9">(C3+E3+G3+I3+K3+M3+O3+Q3+S3)/W3</f>
        <v>#REF!</v>
      </c>
      <c r="W3" s="44" t="e">
        <f t="shared" ref="W3:W66" si="10">(B3+D3+F3+H3+J3+L3+N3+P3+R3)*5</f>
        <v>#REF!</v>
      </c>
    </row>
    <row r="4" spans="1:23" x14ac:dyDescent="0.2">
      <c r="A4" s="45" t="s">
        <v>1428</v>
      </c>
      <c r="B4" s="46" t="e">
        <f>COUNTIF('Self-Assessment_Cases'!#REF!,"*"&amp;A4&amp;"*")</f>
        <v>#REF!</v>
      </c>
      <c r="C4" s="63" t="e">
        <f t="shared" si="0"/>
        <v>#REF!</v>
      </c>
      <c r="D4" s="47">
        <f>COUNTIFS('Self-Assessment_Cases'!$E$4:$E$657,"CCI-002109",'Self-Assessment_Cases'!$I4:$I657,"In Progress - Administrative")</f>
        <v>0</v>
      </c>
      <c r="E4" s="64">
        <f t="shared" si="1"/>
        <v>0</v>
      </c>
      <c r="F4" s="62">
        <f>COUNTIFS('Self-Assessment_Cases'!$E$4:$E$657,"CCI-002109",'Self-Assessment_Cases'!$I4:$I657,"In Progress - Configuration")</f>
        <v>0</v>
      </c>
      <c r="G4" s="65">
        <f t="shared" si="2"/>
        <v>0</v>
      </c>
      <c r="H4" s="48">
        <f>COUNTIFS('Self-Assessment_Cases'!$E$4:$E$657,"CCI-002109",'Self-Assessment_Cases'!$I4:$I657,"In Progress - Installation/Upgrade")</f>
        <v>0</v>
      </c>
      <c r="I4" s="66">
        <f t="shared" si="3"/>
        <v>0</v>
      </c>
      <c r="J4" s="49">
        <f>COUNTIFS('Self-Assessment_Cases'!$E$4:$E$657,"CCI-002109",'Self-Assessment_Cases'!$I4:$I657,"Not Implemented - Compensating Control")</f>
        <v>0</v>
      </c>
      <c r="K4" s="67">
        <f t="shared" si="4"/>
        <v>0</v>
      </c>
      <c r="L4" s="50">
        <f>COUNTIFS('Self-Assessment_Cases'!$E$4:$E$657,"CCI-002109",'Self-Assessment_Cases'!$I4:$I657,"Not Implemented - Risk Negligible")</f>
        <v>0</v>
      </c>
      <c r="M4" s="56">
        <f t="shared" si="5"/>
        <v>0</v>
      </c>
      <c r="N4" s="57">
        <f>COUNTIFS('Self-Assessment_Cases'!$E$4:$E$657,"CCI-002109",'Self-Assessment_Cases'!$I4:$I657,"Not Implemented - Risk Accepted")</f>
        <v>0</v>
      </c>
      <c r="O4" s="57">
        <f t="shared" si="6"/>
        <v>0</v>
      </c>
      <c r="P4" s="58">
        <f>COUNTIFS('Self-Assessment_Cases'!$E$4:$E$657,"CCI-002109",'Self-Assessment_Cases'!$I4:$I657,"Not Implemented - Planned")</f>
        <v>0</v>
      </c>
      <c r="Q4" s="58">
        <f t="shared" si="7"/>
        <v>0</v>
      </c>
      <c r="R4" s="59">
        <f>COUNTIFS('Self-Assessment_Cases'!$E$4:$E$657,"CCI-002109",'Self-Assessment_Cases'!$I4:$I657,"Not Implemented - Unplanned")</f>
        <v>0</v>
      </c>
      <c r="S4" s="59">
        <f t="shared" si="8"/>
        <v>0</v>
      </c>
      <c r="T4" s="60">
        <f>COUNTIFS('Self-Assessment_Cases'!$E$4:$E$657,"CCI-002109",'Self-Assessment_Cases'!$I4:$I657,"Not Applicable")</f>
        <v>0</v>
      </c>
      <c r="U4" s="61"/>
      <c r="V4" s="68" t="e">
        <f t="shared" si="9"/>
        <v>#REF!</v>
      </c>
      <c r="W4" s="44" t="e">
        <f t="shared" si="10"/>
        <v>#REF!</v>
      </c>
    </row>
    <row r="5" spans="1:23" x14ac:dyDescent="0.2">
      <c r="A5" s="45" t="s">
        <v>1458</v>
      </c>
      <c r="B5" s="46" t="e">
        <f>COUNTIF('Self-Assessment_Cases'!#REF!,"*"&amp;A5&amp;"*")</f>
        <v>#REF!</v>
      </c>
      <c r="C5" s="63" t="e">
        <f t="shared" si="0"/>
        <v>#REF!</v>
      </c>
      <c r="D5" s="47">
        <f>COUNTIFS('Self-Assessment_Cases'!$E$4:$E$657,"CCI-000005",'Self-Assessment_Cases'!$I4:$I657,"In Progress - Administrative")</f>
        <v>0</v>
      </c>
      <c r="E5" s="64">
        <f t="shared" si="1"/>
        <v>0</v>
      </c>
      <c r="F5" s="62">
        <f>COUNTIFS('Self-Assessment_Cases'!$E$4:$E$657,"CCI-000005",'Self-Assessment_Cases'!$I4:$I657,"In Progress - Configuration")</f>
        <v>0</v>
      </c>
      <c r="G5" s="65">
        <f t="shared" si="2"/>
        <v>0</v>
      </c>
      <c r="H5" s="48">
        <f>COUNTIFS('Self-Assessment_Cases'!$E$4:$E$657,"CCI-000005",'Self-Assessment_Cases'!$I4:$I657,"In Progress - Installation/Upgrade")</f>
        <v>0</v>
      </c>
      <c r="I5" s="66">
        <f t="shared" si="3"/>
        <v>0</v>
      </c>
      <c r="J5" s="49">
        <f>COUNTIFS('Self-Assessment_Cases'!$E$4:$E$657,"CCI-000005",'Self-Assessment_Cases'!$I4:$I657,"Not Implemented - Compensating Control")</f>
        <v>0</v>
      </c>
      <c r="K5" s="67">
        <f t="shared" si="4"/>
        <v>0</v>
      </c>
      <c r="L5" s="50">
        <f>COUNTIFS('Self-Assessment_Cases'!$E$4:$E$657,"CCI-000005",'Self-Assessment_Cases'!$I4:$I657,"Not Implemented - Risk Negligible")</f>
        <v>0</v>
      </c>
      <c r="M5" s="56">
        <f t="shared" si="5"/>
        <v>0</v>
      </c>
      <c r="N5" s="57">
        <f>COUNTIFS('Self-Assessment_Cases'!$E$4:$E$657,"CCI-000005",'Self-Assessment_Cases'!$I4:$I657,"Not Implemented - Risk Accepted")</f>
        <v>0</v>
      </c>
      <c r="O5" s="57">
        <f t="shared" si="6"/>
        <v>0</v>
      </c>
      <c r="P5" s="58">
        <f>COUNTIFS('Self-Assessment_Cases'!$E$4:$E$657,"CCI-000005",'Self-Assessment_Cases'!$I4:$I657,"Not Implemented - Planned")</f>
        <v>0</v>
      </c>
      <c r="Q5" s="58">
        <f t="shared" si="7"/>
        <v>0</v>
      </c>
      <c r="R5" s="59">
        <f>COUNTIFS('Self-Assessment_Cases'!$E$4:$E$657,"CCI-000005",'Self-Assessment_Cases'!$I4:$I657,"Not Implemented - Unplanned")</f>
        <v>0</v>
      </c>
      <c r="S5" s="59">
        <f t="shared" si="8"/>
        <v>0</v>
      </c>
      <c r="T5" s="60">
        <f>COUNTIFS('Self-Assessment_Cases'!$E$4:$E$657,"CCI-000005",'Self-Assessment_Cases'!$I4:$I657,"Not Applicable")</f>
        <v>0</v>
      </c>
      <c r="U5" s="61"/>
      <c r="V5" s="68" t="e">
        <f t="shared" si="9"/>
        <v>#REF!</v>
      </c>
      <c r="W5" s="44" t="e">
        <f t="shared" si="10"/>
        <v>#REF!</v>
      </c>
    </row>
    <row r="6" spans="1:23" ht="15" customHeight="1" x14ac:dyDescent="0.2">
      <c r="A6" s="45" t="s">
        <v>1459</v>
      </c>
      <c r="B6" s="46" t="e">
        <f>COUNTIF('Self-Assessment_Cases'!#REF!,"*"&amp;A6&amp;"*")</f>
        <v>#REF!</v>
      </c>
      <c r="C6" s="63" t="e">
        <f t="shared" si="0"/>
        <v>#REF!</v>
      </c>
      <c r="D6" s="47">
        <f>COUNTIFS('Self-Assessment_Cases'!$E$4:$E$657,"CCI-001545",'Self-Assessment_Cases'!$I4:$I657,"In Progress - Administrative")</f>
        <v>0</v>
      </c>
      <c r="E6" s="64">
        <f t="shared" si="1"/>
        <v>0</v>
      </c>
      <c r="F6" s="62">
        <f>COUNTIFS('Self-Assessment_Cases'!$E$4:$E$657,"CCI-001545",'Self-Assessment_Cases'!$I4:$I657,"In Progress - Configuration")</f>
        <v>0</v>
      </c>
      <c r="G6" s="65">
        <f t="shared" si="2"/>
        <v>0</v>
      </c>
      <c r="H6" s="48">
        <f>COUNTIFS('Self-Assessment_Cases'!$E$4:$E$657,"CCI-001545",'Self-Assessment_Cases'!$I4:$I657,"In Progress - Installation/Upgrade")</f>
        <v>0</v>
      </c>
      <c r="I6" s="66">
        <f t="shared" si="3"/>
        <v>0</v>
      </c>
      <c r="J6" s="49">
        <f>COUNTIFS('Self-Assessment_Cases'!$E$4:$E$657,"CCI-001545",'Self-Assessment_Cases'!$I4:$I657,"Not Implemented - Compensating Control")</f>
        <v>0</v>
      </c>
      <c r="K6" s="67">
        <f t="shared" si="4"/>
        <v>0</v>
      </c>
      <c r="L6" s="50">
        <f>COUNTIFS('Self-Assessment_Cases'!$E$4:$E$657,"CCI-001545",'Self-Assessment_Cases'!$I4:$I657,"Not Implemented - Risk Negligible")</f>
        <v>0</v>
      </c>
      <c r="M6" s="56">
        <f t="shared" si="5"/>
        <v>0</v>
      </c>
      <c r="N6" s="57">
        <f>COUNTIFS('Self-Assessment_Cases'!$E$4:$E$657,"CCI-001545",'Self-Assessment_Cases'!$I4:$I657,"Not Implemented - Risk Accepted")</f>
        <v>0</v>
      </c>
      <c r="O6" s="57">
        <f t="shared" si="6"/>
        <v>0</v>
      </c>
      <c r="P6" s="58">
        <f>COUNTIFS('Self-Assessment_Cases'!$E$4:$E$657,"CCI-001545",'Self-Assessment_Cases'!$I4:$I657,"Not Implemented - Planned")</f>
        <v>0</v>
      </c>
      <c r="Q6" s="58">
        <f t="shared" si="7"/>
        <v>0</v>
      </c>
      <c r="R6" s="59">
        <f>COUNTIFS('Self-Assessment_Cases'!$E$4:$E$657,"CCI-001545",'Self-Assessment_Cases'!$I4:$I657,"Not Implemented - Unplanned")</f>
        <v>0</v>
      </c>
      <c r="S6" s="59">
        <f t="shared" si="8"/>
        <v>0</v>
      </c>
      <c r="T6" s="60">
        <f>COUNTIFS('Self-Assessment_Cases'!$E$4:$E$657,"CCI-001545",'Self-Assessment_Cases'!$I4:$I657,"Not Applicable")</f>
        <v>0</v>
      </c>
      <c r="U6" s="61"/>
      <c r="V6" s="68" t="e">
        <f t="shared" si="9"/>
        <v>#REF!</v>
      </c>
      <c r="W6" s="44" t="e">
        <f t="shared" si="10"/>
        <v>#REF!</v>
      </c>
    </row>
    <row r="7" spans="1:23" x14ac:dyDescent="0.2">
      <c r="A7" s="45" t="s">
        <v>1460</v>
      </c>
      <c r="B7" s="46" t="e">
        <f>COUNTIF('Self-Assessment_Cases'!#REF!,"*"&amp;A7&amp;"*")</f>
        <v>#REF!</v>
      </c>
      <c r="C7" s="63" t="e">
        <f t="shared" si="0"/>
        <v>#REF!</v>
      </c>
      <c r="D7" s="47">
        <f>COUNTIFS('Self-Assessment_Cases'!$E$4:$E$657,"CCI-002262",'Self-Assessment_Cases'!$I4:$I657,"In Progress - Administrative")</f>
        <v>0</v>
      </c>
      <c r="E7" s="64">
        <f t="shared" si="1"/>
        <v>0</v>
      </c>
      <c r="F7" s="62">
        <f>COUNTIFS('Self-Assessment_Cases'!$E$4:$E$657,"CCI-002262",'Self-Assessment_Cases'!$I4:$I657,"In Progress - Configuration")</f>
        <v>0</v>
      </c>
      <c r="G7" s="65">
        <f t="shared" si="2"/>
        <v>0</v>
      </c>
      <c r="H7" s="48">
        <f>COUNTIFS('Self-Assessment_Cases'!$E$4:$E$657,"CCI-002262",'Self-Assessment_Cases'!$I4:$I657,"In Progress - Installation/Upgrade")</f>
        <v>0</v>
      </c>
      <c r="I7" s="66">
        <f t="shared" si="3"/>
        <v>0</v>
      </c>
      <c r="J7" s="49">
        <f>COUNTIFS('Self-Assessment_Cases'!$E$4:$E$657,"CCI-002262",'Self-Assessment_Cases'!$I4:$I657,"Not Implemented - Compensating Control")</f>
        <v>0</v>
      </c>
      <c r="K7" s="67">
        <f t="shared" si="4"/>
        <v>0</v>
      </c>
      <c r="L7" s="50">
        <f>COUNTIFS('Self-Assessment_Cases'!$E$4:$E$657,"CCI-002262",'Self-Assessment_Cases'!$I4:$I657,"Not Implemented - Risk Negligible")</f>
        <v>0</v>
      </c>
      <c r="M7" s="56">
        <f t="shared" si="5"/>
        <v>0</v>
      </c>
      <c r="N7" s="57">
        <f>COUNTIFS('Self-Assessment_Cases'!$E$4:$E$657,"CCI-002262",'Self-Assessment_Cases'!$I4:$I657,"Not Implemented - Risk Accepted")</f>
        <v>0</v>
      </c>
      <c r="O7" s="57">
        <f t="shared" si="6"/>
        <v>0</v>
      </c>
      <c r="P7" s="58">
        <f>COUNTIFS('Self-Assessment_Cases'!$E$4:$E$657,"CCI-002262",'Self-Assessment_Cases'!$I4:$I657,"Not Implemented - Planned")</f>
        <v>0</v>
      </c>
      <c r="Q7" s="58">
        <f t="shared" si="7"/>
        <v>0</v>
      </c>
      <c r="R7" s="59">
        <f>COUNTIFS('Self-Assessment_Cases'!$E$4:$E$657,"CCI-002262",'Self-Assessment_Cases'!$I4:$I657,"Not Implemented - Unplanned")</f>
        <v>0</v>
      </c>
      <c r="S7" s="59">
        <f t="shared" si="8"/>
        <v>0</v>
      </c>
      <c r="T7" s="60">
        <f>COUNTIFS('Self-Assessment_Cases'!$E$4:$E$657,"CCI-002262",'Self-Assessment_Cases'!$I4:$I657,"Not Applicable")</f>
        <v>0</v>
      </c>
      <c r="U7" s="61"/>
      <c r="V7" s="68" t="e">
        <f t="shared" si="9"/>
        <v>#REF!</v>
      </c>
      <c r="W7" s="44" t="e">
        <f t="shared" si="10"/>
        <v>#REF!</v>
      </c>
    </row>
    <row r="8" spans="1:23" ht="15" customHeight="1" x14ac:dyDescent="0.2">
      <c r="A8" s="45" t="s">
        <v>1461</v>
      </c>
      <c r="B8" s="46" t="e">
        <f>COUNTIF('Self-Assessment_Cases'!#REF!,"*"&amp;A8&amp;"*")</f>
        <v>#REF!</v>
      </c>
      <c r="C8" s="63" t="e">
        <f t="shared" si="0"/>
        <v>#REF!</v>
      </c>
      <c r="D8" s="47">
        <f>COUNTIFS('Self-Assessment_Cases'!$E$4:$E$657,"CCI-002263",'Self-Assessment_Cases'!$I4:$I657,"In Progress - Administrative")</f>
        <v>0</v>
      </c>
      <c r="E8" s="64">
        <f t="shared" si="1"/>
        <v>0</v>
      </c>
      <c r="F8" s="62">
        <f>COUNTIFS('Self-Assessment_Cases'!$E$4:$E$657,"CCI-002263",'Self-Assessment_Cases'!$I4:$I657,"In Progress - Configuration")</f>
        <v>0</v>
      </c>
      <c r="G8" s="65">
        <f t="shared" si="2"/>
        <v>0</v>
      </c>
      <c r="H8" s="48">
        <f>COUNTIFS('Self-Assessment_Cases'!$E$4:$E$657,"CCI-002263",'Self-Assessment_Cases'!$I4:$I657,"In Progress - Installation/Upgrade")</f>
        <v>0</v>
      </c>
      <c r="I8" s="66">
        <f t="shared" si="3"/>
        <v>0</v>
      </c>
      <c r="J8" s="49">
        <f>COUNTIFS('Self-Assessment_Cases'!$E$4:$E$657,"CCI-002263",'Self-Assessment_Cases'!$I4:$I657,"Not Implemented - Compensating Control")</f>
        <v>0</v>
      </c>
      <c r="K8" s="67">
        <f t="shared" si="4"/>
        <v>0</v>
      </c>
      <c r="L8" s="50">
        <f>COUNTIFS('Self-Assessment_Cases'!$E$4:$E$657,"CCI-002263",'Self-Assessment_Cases'!$I4:$I657,"Not Implemented - Risk Negligible")</f>
        <v>0</v>
      </c>
      <c r="M8" s="56">
        <f t="shared" si="5"/>
        <v>0</v>
      </c>
      <c r="N8" s="57">
        <f>COUNTIFS('Self-Assessment_Cases'!$E$4:$E$657,"CCI-002263",'Self-Assessment_Cases'!$I4:$I657,"Not Implemented - Risk Accepted")</f>
        <v>0</v>
      </c>
      <c r="O8" s="57">
        <f t="shared" si="6"/>
        <v>0</v>
      </c>
      <c r="P8" s="58">
        <f>COUNTIFS('Self-Assessment_Cases'!$E$4:$E$657,"CCI-002263",'Self-Assessment_Cases'!$I4:$I657,"Not Implemented - Planned")</f>
        <v>0</v>
      </c>
      <c r="Q8" s="58">
        <f t="shared" si="7"/>
        <v>0</v>
      </c>
      <c r="R8" s="59">
        <f>COUNTIFS('Self-Assessment_Cases'!$E$4:$E$657,"CCI-002263",'Self-Assessment_Cases'!$I4:$I657,"Not Implemented - Unplanned")</f>
        <v>0</v>
      </c>
      <c r="S8" s="59">
        <f t="shared" si="8"/>
        <v>0</v>
      </c>
      <c r="T8" s="60">
        <f>COUNTIFS('Self-Assessment_Cases'!$E$4:$E$657,"CCI-002263",'Self-Assessment_Cases'!$I4:$I657,"Not Applicable")</f>
        <v>0</v>
      </c>
      <c r="U8" s="61"/>
      <c r="V8" s="68" t="e">
        <f t="shared" si="9"/>
        <v>#REF!</v>
      </c>
      <c r="W8" s="44" t="e">
        <f t="shared" si="10"/>
        <v>#REF!</v>
      </c>
    </row>
    <row r="9" spans="1:23" ht="15" customHeight="1" x14ac:dyDescent="0.2">
      <c r="A9" s="45" t="s">
        <v>1462</v>
      </c>
      <c r="B9" s="46" t="e">
        <f>COUNTIF('Self-Assessment_Cases'!#REF!,"*"&amp;A9&amp;"*")</f>
        <v>#REF!</v>
      </c>
      <c r="C9" s="63" t="e">
        <f t="shared" si="0"/>
        <v>#REF!</v>
      </c>
      <c r="D9" s="47">
        <f>COUNTIFS('Self-Assessment_Cases'!$E$4:$E$657,"CCI-002264",'Self-Assessment_Cases'!$I4:$I657,"In Progress - Administrative")</f>
        <v>0</v>
      </c>
      <c r="E9" s="64">
        <f t="shared" si="1"/>
        <v>0</v>
      </c>
      <c r="F9" s="62">
        <f>COUNTIFS('Self-Assessment_Cases'!$E$4:$E$657,"CCI-002264",'Self-Assessment_Cases'!$I4:$I657,"In Progress - Configuration")</f>
        <v>0</v>
      </c>
      <c r="G9" s="65">
        <f t="shared" si="2"/>
        <v>0</v>
      </c>
      <c r="H9" s="48">
        <f>COUNTIFS('Self-Assessment_Cases'!$E$4:$E$657,"CCI-002264",'Self-Assessment_Cases'!$I4:$I657,"In Progress - Installation/Upgrade")</f>
        <v>0</v>
      </c>
      <c r="I9" s="66">
        <f t="shared" si="3"/>
        <v>0</v>
      </c>
      <c r="J9" s="49">
        <f>COUNTIFS('Self-Assessment_Cases'!$E$4:$E$657,"CCI-002264",'Self-Assessment_Cases'!$I4:$I657,"Not Implemented - Compensating Control")</f>
        <v>0</v>
      </c>
      <c r="K9" s="67">
        <f t="shared" si="4"/>
        <v>0</v>
      </c>
      <c r="L9" s="50">
        <f>COUNTIFS('Self-Assessment_Cases'!$E$4:$E$657,"CCI-002264",'Self-Assessment_Cases'!$I4:$I657,"Not Implemented - Risk Negligible")</f>
        <v>0</v>
      </c>
      <c r="M9" s="56">
        <f t="shared" si="5"/>
        <v>0</v>
      </c>
      <c r="N9" s="57">
        <f>COUNTIFS('Self-Assessment_Cases'!$E$4:$E$657,"CCI-002264",'Self-Assessment_Cases'!$I4:$I657,"Not Implemented - Risk Accepted")</f>
        <v>0</v>
      </c>
      <c r="O9" s="57">
        <f t="shared" si="6"/>
        <v>0</v>
      </c>
      <c r="P9" s="58">
        <f>COUNTIFS('Self-Assessment_Cases'!$E$4:$E$657,"CCI-002264",'Self-Assessment_Cases'!$I4:$I657,"Not Implemented - Planned")</f>
        <v>0</v>
      </c>
      <c r="Q9" s="58">
        <f t="shared" si="7"/>
        <v>0</v>
      </c>
      <c r="R9" s="59">
        <f>COUNTIFS('Self-Assessment_Cases'!$E$4:$E$657,"CCI-002264",'Self-Assessment_Cases'!$I4:$I657,"Not Implemented - Unplanned")</f>
        <v>0</v>
      </c>
      <c r="S9" s="59">
        <f t="shared" si="8"/>
        <v>0</v>
      </c>
      <c r="T9" s="60">
        <f>COUNTIFS('Self-Assessment_Cases'!$E$4:$E$657,"CCI-002264",'Self-Assessment_Cases'!$I4:$I657,"Not Applicable")</f>
        <v>0</v>
      </c>
      <c r="U9" s="61"/>
      <c r="V9" s="68" t="e">
        <f t="shared" si="9"/>
        <v>#REF!</v>
      </c>
      <c r="W9" s="44" t="e">
        <f t="shared" si="10"/>
        <v>#REF!</v>
      </c>
    </row>
    <row r="10" spans="1:23" x14ac:dyDescent="0.2">
      <c r="A10" s="45" t="s">
        <v>1463</v>
      </c>
      <c r="B10" s="46" t="e">
        <f>COUNTIF('Self-Assessment_Cases'!#REF!,"*"&amp;A10&amp;"*")</f>
        <v>#REF!</v>
      </c>
      <c r="C10" s="63" t="e">
        <f t="shared" si="0"/>
        <v>#REF!</v>
      </c>
      <c r="D10" s="47">
        <f>COUNTIFS('Self-Assessment_Cases'!$E$4:$E$657,"CCI-002265",'Self-Assessment_Cases'!$I4:$I657,"In Progress - Administrative")</f>
        <v>0</v>
      </c>
      <c r="E10" s="64">
        <f t="shared" si="1"/>
        <v>0</v>
      </c>
      <c r="F10" s="62">
        <f>COUNTIFS('Self-Assessment_Cases'!$E$4:$E$657,"CCI-002265",'Self-Assessment_Cases'!$I4:$I657,"In Progress - Configuration")</f>
        <v>0</v>
      </c>
      <c r="G10" s="65">
        <f t="shared" si="2"/>
        <v>0</v>
      </c>
      <c r="H10" s="48">
        <f>COUNTIFS('Self-Assessment_Cases'!$E$4:$E$657,"CCI-002265",'Self-Assessment_Cases'!$I4:$I657,"In Progress - Installation/Upgrade")</f>
        <v>0</v>
      </c>
      <c r="I10" s="66">
        <f t="shared" si="3"/>
        <v>0</v>
      </c>
      <c r="J10" s="49">
        <f>COUNTIFS('Self-Assessment_Cases'!$E$4:$E$657,"CCI-002265",'Self-Assessment_Cases'!$I4:$I657,"Not Implemented - Compensating Control")</f>
        <v>0</v>
      </c>
      <c r="K10" s="67">
        <f t="shared" si="4"/>
        <v>0</v>
      </c>
      <c r="L10" s="50">
        <f>COUNTIFS('Self-Assessment_Cases'!$E$4:$E$657,"CCI-002265",'Self-Assessment_Cases'!$I4:$I657,"Not Implemented - Risk Negligible")</f>
        <v>0</v>
      </c>
      <c r="M10" s="56">
        <f t="shared" si="5"/>
        <v>0</v>
      </c>
      <c r="N10" s="57">
        <f>COUNTIFS('Self-Assessment_Cases'!$E$4:$E$657,"CCI-002265",'Self-Assessment_Cases'!$I4:$I657,"Not Implemented - Risk Accepted")</f>
        <v>0</v>
      </c>
      <c r="O10" s="57">
        <f t="shared" si="6"/>
        <v>0</v>
      </c>
      <c r="P10" s="58">
        <f>COUNTIFS('Self-Assessment_Cases'!$E$4:$E$657,"CCI-002265",'Self-Assessment_Cases'!$I4:$I657,"Not Implemented - Planned")</f>
        <v>0</v>
      </c>
      <c r="Q10" s="58">
        <f t="shared" si="7"/>
        <v>0</v>
      </c>
      <c r="R10" s="59">
        <f>COUNTIFS('Self-Assessment_Cases'!$E$4:$E$657,"CCI-002265",'Self-Assessment_Cases'!$I4:$I657,"Not Implemented - Unplanned")</f>
        <v>0</v>
      </c>
      <c r="S10" s="59">
        <f t="shared" si="8"/>
        <v>0</v>
      </c>
      <c r="T10" s="60">
        <f>COUNTIFS('Self-Assessment_Cases'!$E$4:$E$657,"CCI-002265",'Self-Assessment_Cases'!$I4:$I657,"Not Applicable")</f>
        <v>0</v>
      </c>
      <c r="U10" s="61"/>
      <c r="V10" s="68" t="e">
        <f t="shared" si="9"/>
        <v>#REF!</v>
      </c>
      <c r="W10" s="44" t="e">
        <f t="shared" si="10"/>
        <v>#REF!</v>
      </c>
    </row>
    <row r="11" spans="1:23" ht="15" customHeight="1" x14ac:dyDescent="0.2">
      <c r="A11" s="45" t="s">
        <v>1464</v>
      </c>
      <c r="B11" s="46" t="e">
        <f>COUNTIF('Self-Assessment_Cases'!#REF!,"*"&amp;A11&amp;"*")</f>
        <v>#REF!</v>
      </c>
      <c r="C11" s="63" t="e">
        <f t="shared" si="0"/>
        <v>#REF!</v>
      </c>
      <c r="D11" s="47">
        <f>COUNTIFS('Self-Assessment_Cases'!$E$4:$E$657,"CCI-002266",'Self-Assessment_Cases'!$I4:$I657,"In Progress - Administrative")</f>
        <v>0</v>
      </c>
      <c r="E11" s="64">
        <f t="shared" si="1"/>
        <v>0</v>
      </c>
      <c r="F11" s="62">
        <f>COUNTIFS('Self-Assessment_Cases'!$E$4:$E$657,"CCI-002266",'Self-Assessment_Cases'!$I4:$I657,"In Progress - Configuration")</f>
        <v>0</v>
      </c>
      <c r="G11" s="65">
        <f t="shared" si="2"/>
        <v>0</v>
      </c>
      <c r="H11" s="48">
        <f>COUNTIFS('Self-Assessment_Cases'!$E$4:$E$657,"CCI-002266",'Self-Assessment_Cases'!$I4:$I657,"In Progress - Installation/Upgrade")</f>
        <v>0</v>
      </c>
      <c r="I11" s="66">
        <f t="shared" si="3"/>
        <v>0</v>
      </c>
      <c r="J11" s="49">
        <f>COUNTIFS('Self-Assessment_Cases'!$E$4:$E$657,"CCI-002266",'Self-Assessment_Cases'!$I4:$I657,"Not Implemented - Compensating Control")</f>
        <v>0</v>
      </c>
      <c r="K11" s="67">
        <f t="shared" si="4"/>
        <v>0</v>
      </c>
      <c r="L11" s="50">
        <f>COUNTIFS('Self-Assessment_Cases'!$E$4:$E$657,"CCI-002266",'Self-Assessment_Cases'!$I4:$I657,"Not Implemented - Risk Negligible")</f>
        <v>0</v>
      </c>
      <c r="M11" s="56">
        <f t="shared" si="5"/>
        <v>0</v>
      </c>
      <c r="N11" s="57">
        <f>COUNTIFS('Self-Assessment_Cases'!$E$4:$E$657,"CCI-002266",'Self-Assessment_Cases'!$I4:$I657,"Not Implemented - Risk Accepted")</f>
        <v>0</v>
      </c>
      <c r="O11" s="57">
        <f t="shared" si="6"/>
        <v>0</v>
      </c>
      <c r="P11" s="58">
        <f>COUNTIFS('Self-Assessment_Cases'!$E$4:$E$657,"CCI-002266",'Self-Assessment_Cases'!$I4:$I657,"Not Implemented - Planned")</f>
        <v>0</v>
      </c>
      <c r="Q11" s="58">
        <f t="shared" si="7"/>
        <v>0</v>
      </c>
      <c r="R11" s="59">
        <f>COUNTIFS('Self-Assessment_Cases'!$E$4:$E$657,"CCI-002266",'Self-Assessment_Cases'!$I4:$I657,"Not Implemented - Unplanned")</f>
        <v>0</v>
      </c>
      <c r="S11" s="59">
        <f t="shared" si="8"/>
        <v>0</v>
      </c>
      <c r="T11" s="60">
        <f>COUNTIFS('Self-Assessment_Cases'!$E$4:$E$657,"CCI-002266",'Self-Assessment_Cases'!$I4:$I657,"Not Applicable")</f>
        <v>0</v>
      </c>
      <c r="U11" s="61"/>
      <c r="V11" s="68" t="e">
        <f t="shared" si="9"/>
        <v>#REF!</v>
      </c>
      <c r="W11" s="44" t="e">
        <f t="shared" si="10"/>
        <v>#REF!</v>
      </c>
    </row>
    <row r="12" spans="1:23" ht="15" customHeight="1" x14ac:dyDescent="0.2">
      <c r="A12" s="45" t="s">
        <v>1429</v>
      </c>
      <c r="B12" s="46" t="e">
        <f>COUNTIF('Self-Assessment_Cases'!#REF!,"*"&amp;A12&amp;"*")</f>
        <v>#REF!</v>
      </c>
      <c r="C12" s="63" t="e">
        <f t="shared" si="0"/>
        <v>#REF!</v>
      </c>
      <c r="D12" s="47">
        <f>COUNTIFS('Self-Assessment_Cases'!$E$4:$E$657,"CCI-002269",'Self-Assessment_Cases'!$I4:$I657,"In Progress - Administrative")</f>
        <v>0</v>
      </c>
      <c r="E12" s="64">
        <f t="shared" si="1"/>
        <v>0</v>
      </c>
      <c r="F12" s="62">
        <f>COUNTIFS('Self-Assessment_Cases'!$E$4:$E$657,"CCI-002269",'Self-Assessment_Cases'!$I4:$I657,"In Progress - Configuration")</f>
        <v>0</v>
      </c>
      <c r="G12" s="65">
        <f t="shared" si="2"/>
        <v>0</v>
      </c>
      <c r="H12" s="48">
        <f>COUNTIFS('Self-Assessment_Cases'!$E$4:$E$657,"CCI-002269",'Self-Assessment_Cases'!$I4:$I657,"In Progress - Installation/Upgrade")</f>
        <v>0</v>
      </c>
      <c r="I12" s="66">
        <f t="shared" si="3"/>
        <v>0</v>
      </c>
      <c r="J12" s="49">
        <f>COUNTIFS('Self-Assessment_Cases'!$E$4:$E$657,"CCI-002269",'Self-Assessment_Cases'!$I4:$I657,"Not Implemented - Compensating Control")</f>
        <v>0</v>
      </c>
      <c r="K12" s="67">
        <f t="shared" si="4"/>
        <v>0</v>
      </c>
      <c r="L12" s="50">
        <f>COUNTIFS('Self-Assessment_Cases'!$E$4:$E$657,"CCI-002269",'Self-Assessment_Cases'!$I4:$I657,"Not Implemented - Risk Negligible")</f>
        <v>0</v>
      </c>
      <c r="M12" s="56">
        <f t="shared" si="5"/>
        <v>0</v>
      </c>
      <c r="N12" s="57">
        <f>COUNTIFS('Self-Assessment_Cases'!$E$4:$E$657,"CCI-002269",'Self-Assessment_Cases'!$I4:$I657,"Not Implemented - Risk Accepted")</f>
        <v>0</v>
      </c>
      <c r="O12" s="57">
        <f t="shared" si="6"/>
        <v>0</v>
      </c>
      <c r="P12" s="58">
        <f>COUNTIFS('Self-Assessment_Cases'!$E$4:$E$657,"CCI-002269",'Self-Assessment_Cases'!$I4:$I657,"Not Implemented - Planned")</f>
        <v>0</v>
      </c>
      <c r="Q12" s="58">
        <f t="shared" si="7"/>
        <v>0</v>
      </c>
      <c r="R12" s="59">
        <f>COUNTIFS('Self-Assessment_Cases'!$E$4:$E$657,"CCI-002269",'Self-Assessment_Cases'!$I4:$I657,"Not Implemented - Unplanned")</f>
        <v>0</v>
      </c>
      <c r="S12" s="59">
        <f t="shared" si="8"/>
        <v>0</v>
      </c>
      <c r="T12" s="60">
        <f>COUNTIFS('Self-Assessment_Cases'!$E$4:$E$657,"CCI-002269",'Self-Assessment_Cases'!$I4:$I657,"Not Applicable")</f>
        <v>0</v>
      </c>
      <c r="U12" s="61"/>
      <c r="V12" s="68" t="e">
        <f t="shared" si="9"/>
        <v>#REF!</v>
      </c>
      <c r="W12" s="44" t="e">
        <f t="shared" si="10"/>
        <v>#REF!</v>
      </c>
    </row>
    <row r="13" spans="1:23" x14ac:dyDescent="0.2">
      <c r="A13" s="45" t="s">
        <v>1430</v>
      </c>
      <c r="B13" s="46" t="e">
        <f>COUNTIF('Self-Assessment_Cases'!#REF!,"*"&amp;A13&amp;"*")</f>
        <v>#REF!</v>
      </c>
      <c r="C13" s="63" t="e">
        <f t="shared" si="0"/>
        <v>#REF!</v>
      </c>
      <c r="D13" s="47">
        <f>COUNTIFS('Self-Assessment_Cases'!$E$4:$E$657,"CCI-002271",'Self-Assessment_Cases'!$I4:$I657,"In Progress - Administrative")</f>
        <v>0</v>
      </c>
      <c r="E13" s="64">
        <f t="shared" si="1"/>
        <v>0</v>
      </c>
      <c r="F13" s="62">
        <f>COUNTIFS('Self-Assessment_Cases'!$E$4:$E$657,"CCI-002271",'Self-Assessment_Cases'!$I4:$I657,"In Progress - Configuration")</f>
        <v>0</v>
      </c>
      <c r="G13" s="65">
        <f t="shared" si="2"/>
        <v>0</v>
      </c>
      <c r="H13" s="48">
        <f>COUNTIFS('Self-Assessment_Cases'!$E$4:$E$657,"CCI-002271",'Self-Assessment_Cases'!$I4:$I657,"In Progress - Installation/Upgrade")</f>
        <v>0</v>
      </c>
      <c r="I13" s="66">
        <f t="shared" si="3"/>
        <v>0</v>
      </c>
      <c r="J13" s="49">
        <f>COUNTIFS('Self-Assessment_Cases'!$E$4:$E$657,"CCI-002271",'Self-Assessment_Cases'!$I4:$I657,"Not Implemented - Compensating Control")</f>
        <v>0</v>
      </c>
      <c r="K13" s="67">
        <f t="shared" si="4"/>
        <v>0</v>
      </c>
      <c r="L13" s="50">
        <f>COUNTIFS('Self-Assessment_Cases'!$E$4:$E$657,"CCI-002271",'Self-Assessment_Cases'!$I4:$I657,"Not Implemented - Risk Negligible")</f>
        <v>0</v>
      </c>
      <c r="M13" s="56">
        <f t="shared" si="5"/>
        <v>0</v>
      </c>
      <c r="N13" s="57">
        <f>COUNTIFS('Self-Assessment_Cases'!$E$4:$E$657,"CCI-002271",'Self-Assessment_Cases'!$I4:$I657,"Not Implemented - Risk Accepted")</f>
        <v>0</v>
      </c>
      <c r="O13" s="57">
        <f t="shared" si="6"/>
        <v>0</v>
      </c>
      <c r="P13" s="58">
        <f>COUNTIFS('Self-Assessment_Cases'!$E$4:$E$657,"CCI-002271",'Self-Assessment_Cases'!$I4:$I657,"Not Implemented - Planned")</f>
        <v>0</v>
      </c>
      <c r="Q13" s="58">
        <f t="shared" si="7"/>
        <v>0</v>
      </c>
      <c r="R13" s="59">
        <f>COUNTIFS('Self-Assessment_Cases'!$E$4:$E$657,"CCI-002271",'Self-Assessment_Cases'!$I4:$I657,"Not Implemented - Unplanned")</f>
        <v>0</v>
      </c>
      <c r="S13" s="59">
        <f t="shared" si="8"/>
        <v>0</v>
      </c>
      <c r="T13" s="60">
        <f>COUNTIFS('Self-Assessment_Cases'!$E$4:$E$657,"CCI-002271",'Self-Assessment_Cases'!$I4:$I657,"Not Applicable")</f>
        <v>0</v>
      </c>
      <c r="U13" s="61"/>
      <c r="V13" s="68" t="e">
        <f t="shared" si="9"/>
        <v>#REF!</v>
      </c>
      <c r="W13" s="44" t="e">
        <f t="shared" si="10"/>
        <v>#REF!</v>
      </c>
    </row>
    <row r="14" spans="1:23" x14ac:dyDescent="0.2">
      <c r="A14" s="45" t="s">
        <v>1431</v>
      </c>
      <c r="B14" s="46" t="e">
        <f>COUNTIF('Self-Assessment_Cases'!#REF!,"*"&amp;A14&amp;"*")</f>
        <v>#REF!</v>
      </c>
      <c r="C14" s="63" t="e">
        <f t="shared" si="0"/>
        <v>#REF!</v>
      </c>
      <c r="D14" s="47">
        <f>COUNTIFS('Self-Assessment_Cases'!$E$4:$E$657,"CCI-002310",'Self-Assessment_Cases'!$I4:$I657,"In Progress - Administrative")</f>
        <v>0</v>
      </c>
      <c r="E14" s="64">
        <f t="shared" si="1"/>
        <v>0</v>
      </c>
      <c r="F14" s="62">
        <f>COUNTIFS('Self-Assessment_Cases'!$E$4:$E$657,"CCI-002310",'Self-Assessment_Cases'!$I4:$I657,"In Progress - Configuration")</f>
        <v>0</v>
      </c>
      <c r="G14" s="65">
        <f t="shared" si="2"/>
        <v>0</v>
      </c>
      <c r="H14" s="48">
        <f>COUNTIFS('Self-Assessment_Cases'!$E$4:$E$657,"CCI-002310",'Self-Assessment_Cases'!$I4:$I657,"In Progress - Installation/Upgrade")</f>
        <v>0</v>
      </c>
      <c r="I14" s="66">
        <f t="shared" si="3"/>
        <v>0</v>
      </c>
      <c r="J14" s="49">
        <f>COUNTIFS('Self-Assessment_Cases'!$E$4:$E$657,"CCI-002310",'Self-Assessment_Cases'!$I4:$I657,"Not Implemented - Compensating Control")</f>
        <v>0</v>
      </c>
      <c r="K14" s="67">
        <f t="shared" si="4"/>
        <v>0</v>
      </c>
      <c r="L14" s="50">
        <f>COUNTIFS('Self-Assessment_Cases'!$E$4:$E$657,"CCI-002310",'Self-Assessment_Cases'!$I4:$I657,"Not Implemented - Risk Negligible")</f>
        <v>0</v>
      </c>
      <c r="M14" s="56">
        <f t="shared" si="5"/>
        <v>0</v>
      </c>
      <c r="N14" s="57">
        <f>COUNTIFS('Self-Assessment_Cases'!$E$4:$E$657,"CCI-002310",'Self-Assessment_Cases'!$I4:$I657,"Not Implemented - Risk Accepted")</f>
        <v>0</v>
      </c>
      <c r="O14" s="57">
        <f t="shared" si="6"/>
        <v>0</v>
      </c>
      <c r="P14" s="58">
        <f>COUNTIFS('Self-Assessment_Cases'!$E$4:$E$657,"CCI-002310",'Self-Assessment_Cases'!$I4:$I657,"Not Implemented - Planned")</f>
        <v>0</v>
      </c>
      <c r="Q14" s="58">
        <f t="shared" si="7"/>
        <v>0</v>
      </c>
      <c r="R14" s="59">
        <f>COUNTIFS('Self-Assessment_Cases'!$E$4:$E$657,"CCI-002310",'Self-Assessment_Cases'!$I4:$I657,"Not Implemented - Unplanned")</f>
        <v>0</v>
      </c>
      <c r="S14" s="59">
        <f t="shared" si="8"/>
        <v>0</v>
      </c>
      <c r="T14" s="60">
        <f>COUNTIFS('Self-Assessment_Cases'!$E$4:$E$657,"CCI-002310",'Self-Assessment_Cases'!$I4:$I657,"Not Applicable")</f>
        <v>0</v>
      </c>
      <c r="U14" s="61"/>
      <c r="V14" s="68" t="e">
        <f t="shared" si="9"/>
        <v>#REF!</v>
      </c>
      <c r="W14" s="44" t="e">
        <f t="shared" si="10"/>
        <v>#REF!</v>
      </c>
    </row>
    <row r="15" spans="1:23" x14ac:dyDescent="0.2">
      <c r="A15" s="45" t="s">
        <v>1432</v>
      </c>
      <c r="B15" s="46" t="e">
        <f>COUNTIF('Self-Assessment_Cases'!#REF!,"*"&amp;A15&amp;"*")</f>
        <v>#REF!</v>
      </c>
      <c r="C15" s="63" t="e">
        <f t="shared" si="0"/>
        <v>#REF!</v>
      </c>
      <c r="D15" s="47">
        <f>COUNTIFS('Self-Assessment_Cases'!$E$4:$E$657,"CCI-002311",'Self-Assessment_Cases'!$I4:$I657,"In Progress - Administrative")</f>
        <v>0</v>
      </c>
      <c r="E15" s="64">
        <f t="shared" si="1"/>
        <v>0</v>
      </c>
      <c r="F15" s="62">
        <f>COUNTIFS('Self-Assessment_Cases'!$E$4:$E$657,"CCI-002311",'Self-Assessment_Cases'!$I4:$I657,"In Progress - Configuration")</f>
        <v>0</v>
      </c>
      <c r="G15" s="65">
        <f t="shared" si="2"/>
        <v>0</v>
      </c>
      <c r="H15" s="48">
        <f>COUNTIFS('Self-Assessment_Cases'!$E$4:$E$657,"CCI-002311",'Self-Assessment_Cases'!$I4:$I657,"In Progress - Installation/Upgrade")</f>
        <v>0</v>
      </c>
      <c r="I15" s="66">
        <f t="shared" si="3"/>
        <v>0</v>
      </c>
      <c r="J15" s="49">
        <f>COUNTIFS('Self-Assessment_Cases'!$E$4:$E$657,"CCI-002311",'Self-Assessment_Cases'!$I4:$I657,"Not Implemented - Compensating Control")</f>
        <v>0</v>
      </c>
      <c r="K15" s="67">
        <f t="shared" si="4"/>
        <v>0</v>
      </c>
      <c r="L15" s="50">
        <f>COUNTIFS('Self-Assessment_Cases'!$E$4:$E$657,"CCI-002311",'Self-Assessment_Cases'!$I4:$I657,"Not Implemented - Risk Negligible")</f>
        <v>0</v>
      </c>
      <c r="M15" s="56">
        <f t="shared" si="5"/>
        <v>0</v>
      </c>
      <c r="N15" s="57">
        <f>COUNTIFS('Self-Assessment_Cases'!$E$4:$E$657,"CCI-002311",'Self-Assessment_Cases'!$I4:$I657,"Not Implemented - Risk Accepted")</f>
        <v>0</v>
      </c>
      <c r="O15" s="57">
        <f t="shared" si="6"/>
        <v>0</v>
      </c>
      <c r="P15" s="58">
        <f>COUNTIFS('Self-Assessment_Cases'!$E$4:$E$657,"CCI-002311",'Self-Assessment_Cases'!$I4:$I657,"Not Implemented - Planned")</f>
        <v>0</v>
      </c>
      <c r="Q15" s="58">
        <f t="shared" si="7"/>
        <v>0</v>
      </c>
      <c r="R15" s="59">
        <f>COUNTIFS('Self-Assessment_Cases'!$E$4:$E$657,"CCI-002311",'Self-Assessment_Cases'!$I4:$I657,"Not Implemented - Unplanned")</f>
        <v>0</v>
      </c>
      <c r="S15" s="59">
        <f t="shared" si="8"/>
        <v>0</v>
      </c>
      <c r="T15" s="60">
        <f>COUNTIFS('Self-Assessment_Cases'!$E$4:$E$657,"CCI-002311",'Self-Assessment_Cases'!$I4:$I657,"Not Applicable")</f>
        <v>0</v>
      </c>
      <c r="U15" s="61"/>
      <c r="V15" s="68" t="e">
        <f t="shared" si="9"/>
        <v>#REF!</v>
      </c>
      <c r="W15" s="44" t="e">
        <f t="shared" si="10"/>
        <v>#REF!</v>
      </c>
    </row>
    <row r="16" spans="1:23" x14ac:dyDescent="0.2">
      <c r="A16" s="45" t="s">
        <v>1433</v>
      </c>
      <c r="B16" s="46" t="e">
        <f>COUNTIF('Self-Assessment_Cases'!#REF!,"*"&amp;A16&amp;"*")</f>
        <v>#REF!</v>
      </c>
      <c r="C16" s="63" t="e">
        <f t="shared" si="0"/>
        <v>#REF!</v>
      </c>
      <c r="D16" s="47">
        <f>COUNTIFS('Self-Assessment_Cases'!$E$4:$E$657,"AT-2",'Self-Assessment_Cases'!$I4:$I657,"In Progress - Administrative")</f>
        <v>0</v>
      </c>
      <c r="E16" s="64">
        <f t="shared" si="1"/>
        <v>0</v>
      </c>
      <c r="F16" s="62">
        <f>COUNTIFS('Self-Assessment_Cases'!$E$4:$E$657,"AT-2",'Self-Assessment_Cases'!$I4:$I657,"In Progress - Configuration")</f>
        <v>0</v>
      </c>
      <c r="G16" s="65">
        <f t="shared" si="2"/>
        <v>0</v>
      </c>
      <c r="H16" s="48">
        <f>COUNTIFS('Self-Assessment_Cases'!$E$4:$E$657,"AT-2",'Self-Assessment_Cases'!$I4:$I657,"In Progress - Installation/Upgrade")</f>
        <v>0</v>
      </c>
      <c r="I16" s="66">
        <f t="shared" si="3"/>
        <v>0</v>
      </c>
      <c r="J16" s="49">
        <f>COUNTIFS('Self-Assessment_Cases'!$E$4:$E$657,"AT-2",'Self-Assessment_Cases'!$I4:$I657,"Not Implemented - Compensating Control")</f>
        <v>0</v>
      </c>
      <c r="K16" s="67">
        <f t="shared" si="4"/>
        <v>0</v>
      </c>
      <c r="L16" s="50">
        <f>COUNTIFS('Self-Assessment_Cases'!$E$4:$E$657,"AT-2",'Self-Assessment_Cases'!$I4:$I657,"Not Implemented - Risk Negligible")</f>
        <v>0</v>
      </c>
      <c r="M16" s="56">
        <f t="shared" si="5"/>
        <v>0</v>
      </c>
      <c r="N16" s="57">
        <f>COUNTIFS('Self-Assessment_Cases'!$E$4:$E$657,"AT-2",'Self-Assessment_Cases'!$I4:$I657,"Not Implemented - Risk Accepted")</f>
        <v>0</v>
      </c>
      <c r="O16" s="57">
        <f t="shared" si="6"/>
        <v>0</v>
      </c>
      <c r="P16" s="58">
        <f>COUNTIFS('Self-Assessment_Cases'!$E$4:$E$657,"AT-2",'Self-Assessment_Cases'!$I4:$I657,"Not Implemented - Planned")</f>
        <v>0</v>
      </c>
      <c r="Q16" s="58">
        <f t="shared" si="7"/>
        <v>0</v>
      </c>
      <c r="R16" s="59">
        <f>COUNTIFS('Self-Assessment_Cases'!$E$4:$E$657,"AT-2",'Self-Assessment_Cases'!$I4:$I657,"Not Implemented - Unplanned")</f>
        <v>0</v>
      </c>
      <c r="S16" s="59">
        <f t="shared" si="8"/>
        <v>0</v>
      </c>
      <c r="T16" s="60">
        <f>COUNTIFS('Self-Assessment_Cases'!$E$4:$E$657,"AT-2",'Self-Assessment_Cases'!$I4:$I657,"Not Applicable")</f>
        <v>0</v>
      </c>
      <c r="U16" s="61"/>
      <c r="V16" s="68" t="e">
        <f t="shared" si="9"/>
        <v>#REF!</v>
      </c>
      <c r="W16" s="44" t="e">
        <f t="shared" si="10"/>
        <v>#REF!</v>
      </c>
    </row>
    <row r="17" spans="1:23" ht="15" customHeight="1" x14ac:dyDescent="0.2">
      <c r="A17" s="45" t="s">
        <v>1434</v>
      </c>
      <c r="B17" s="46" t="e">
        <f>COUNTIF('Self-Assessment_Cases'!#REF!,"*"&amp;A17&amp;"*")</f>
        <v>#REF!</v>
      </c>
      <c r="C17" s="63" t="e">
        <f t="shared" si="0"/>
        <v>#REF!</v>
      </c>
      <c r="D17" s="47">
        <f>COUNTIFS('Self-Assessment_Cases'!$E$4:$E$657,"AU-1",'Self-Assessment_Cases'!$I4:$I657,"In Progress - Administrative")</f>
        <v>0</v>
      </c>
      <c r="E17" s="64">
        <f t="shared" si="1"/>
        <v>0</v>
      </c>
      <c r="F17" s="62">
        <f>COUNTIFS('Self-Assessment_Cases'!$E$4:$E$657,"AU-1",'Self-Assessment_Cases'!$I4:$I657,"In Progress - Configuration")</f>
        <v>0</v>
      </c>
      <c r="G17" s="65">
        <f t="shared" si="2"/>
        <v>0</v>
      </c>
      <c r="H17" s="48">
        <f>COUNTIFS('Self-Assessment_Cases'!$E$4:$E$657,"AU-1",'Self-Assessment_Cases'!$I4:$I657,"In Progress - Installation/Upgrade")</f>
        <v>0</v>
      </c>
      <c r="I17" s="66">
        <f t="shared" si="3"/>
        <v>0</v>
      </c>
      <c r="J17" s="49">
        <f>COUNTIFS('Self-Assessment_Cases'!$E$4:$E$657,"AU-1",'Self-Assessment_Cases'!$I4:$I657,"Not Implemented - Compensating Control")</f>
        <v>0</v>
      </c>
      <c r="K17" s="67">
        <f t="shared" si="4"/>
        <v>0</v>
      </c>
      <c r="L17" s="50">
        <f>COUNTIFS('Self-Assessment_Cases'!$E$4:$E$657,"AU-1",'Self-Assessment_Cases'!$I4:$I657,"Not Implemented - Risk Negligible")</f>
        <v>0</v>
      </c>
      <c r="M17" s="56">
        <f t="shared" si="5"/>
        <v>0</v>
      </c>
      <c r="N17" s="57">
        <f>COUNTIFS('Self-Assessment_Cases'!$E$4:$E$657,"AU-1",'Self-Assessment_Cases'!$I4:$I657,"Not Implemented - Risk Accepted")</f>
        <v>0</v>
      </c>
      <c r="O17" s="57">
        <f t="shared" si="6"/>
        <v>0</v>
      </c>
      <c r="P17" s="58">
        <f>COUNTIFS('Self-Assessment_Cases'!$E$4:$E$657,"AU-1",'Self-Assessment_Cases'!$I4:$I657,"Not Implemented - Planned")</f>
        <v>0</v>
      </c>
      <c r="Q17" s="58">
        <f t="shared" si="7"/>
        <v>0</v>
      </c>
      <c r="R17" s="59">
        <f>COUNTIFS('Self-Assessment_Cases'!$E$4:$E$657,"AU-1",'Self-Assessment_Cases'!$I4:$I657,"Not Implemented - Unplanned")</f>
        <v>0</v>
      </c>
      <c r="S17" s="59">
        <f t="shared" si="8"/>
        <v>0</v>
      </c>
      <c r="T17" s="60">
        <f>COUNTIFS('Self-Assessment_Cases'!$E$4:$E$657,"AU-1",'Self-Assessment_Cases'!$I4:$I657,"Not Applicable")</f>
        <v>0</v>
      </c>
      <c r="U17" s="61"/>
      <c r="V17" s="68" t="e">
        <f t="shared" si="9"/>
        <v>#REF!</v>
      </c>
      <c r="W17" s="44" t="e">
        <f t="shared" si="10"/>
        <v>#REF!</v>
      </c>
    </row>
    <row r="18" spans="1:23" ht="15" customHeight="1" x14ac:dyDescent="0.2">
      <c r="A18" s="45" t="s">
        <v>1435</v>
      </c>
      <c r="B18" s="46" t="e">
        <f>COUNTIF('Self-Assessment_Cases'!#REF!,"*"&amp;A18&amp;"*")</f>
        <v>#REF!</v>
      </c>
      <c r="C18" s="63" t="e">
        <f t="shared" si="0"/>
        <v>#REF!</v>
      </c>
      <c r="D18" s="47">
        <f>COUNTIFS('Self-Assessment_Cases'!$E$4:$E$657,"AU-10",'Self-Assessment_Cases'!$I4:$I657,"In Progress - Administrative")</f>
        <v>0</v>
      </c>
      <c r="E18" s="64">
        <f t="shared" si="1"/>
        <v>0</v>
      </c>
      <c r="F18" s="62">
        <f>COUNTIFS('Self-Assessment_Cases'!$E$4:$E$657,"AU-10",'Self-Assessment_Cases'!$I4:$I657,"In Progress - Configuration")</f>
        <v>0</v>
      </c>
      <c r="G18" s="65">
        <f t="shared" si="2"/>
        <v>0</v>
      </c>
      <c r="H18" s="48">
        <f>COUNTIFS('Self-Assessment_Cases'!$E$4:$E$657,"AU-10",'Self-Assessment_Cases'!$I4:$I657,"In Progress - Installation/Upgrade")</f>
        <v>0</v>
      </c>
      <c r="I18" s="66">
        <f t="shared" si="3"/>
        <v>0</v>
      </c>
      <c r="J18" s="49">
        <f>COUNTIFS('Self-Assessment_Cases'!$E$4:$E$657,"AU-10",'Self-Assessment_Cases'!$I4:$I657,"Not Implemented - Compensating Control")</f>
        <v>0</v>
      </c>
      <c r="K18" s="67">
        <f t="shared" si="4"/>
        <v>0</v>
      </c>
      <c r="L18" s="50">
        <f>COUNTIFS('Self-Assessment_Cases'!$E$4:$E$657,"AU-10",'Self-Assessment_Cases'!$I4:$I657,"Not Implemented - Risk Negligible")</f>
        <v>0</v>
      </c>
      <c r="M18" s="56">
        <f t="shared" si="5"/>
        <v>0</v>
      </c>
      <c r="N18" s="57">
        <f>COUNTIFS('Self-Assessment_Cases'!$E$4:$E$657,"AU-10",'Self-Assessment_Cases'!$I4:$I657,"Not Implemented - Risk Accepted")</f>
        <v>0</v>
      </c>
      <c r="O18" s="57">
        <f t="shared" si="6"/>
        <v>0</v>
      </c>
      <c r="P18" s="58">
        <f>COUNTIFS('Self-Assessment_Cases'!$E$4:$E$657,"AU-10",'Self-Assessment_Cases'!$I4:$I657,"Not Implemented - Planned")</f>
        <v>0</v>
      </c>
      <c r="Q18" s="58">
        <f t="shared" si="7"/>
        <v>0</v>
      </c>
      <c r="R18" s="59">
        <f>COUNTIFS('Self-Assessment_Cases'!$E$4:$E$657,"AU-10",'Self-Assessment_Cases'!$I4:$I657,"Not Implemented - Unplanned")</f>
        <v>0</v>
      </c>
      <c r="S18" s="59">
        <f t="shared" si="8"/>
        <v>0</v>
      </c>
      <c r="T18" s="60">
        <f>COUNTIFS('Self-Assessment_Cases'!$E$4:$E$657,"AU-10",'Self-Assessment_Cases'!$I4:$I657,"Not Applicable")</f>
        <v>0</v>
      </c>
      <c r="U18" s="61"/>
      <c r="V18" s="68" t="e">
        <f t="shared" si="9"/>
        <v>#REF!</v>
      </c>
      <c r="W18" s="44" t="e">
        <f t="shared" si="10"/>
        <v>#REF!</v>
      </c>
    </row>
    <row r="19" spans="1:23" ht="15" customHeight="1" x14ac:dyDescent="0.2">
      <c r="A19" s="45" t="s">
        <v>1465</v>
      </c>
      <c r="B19" s="46" t="e">
        <f>COUNTIF('Self-Assessment_Cases'!#REF!,"*"&amp;A19&amp;"*")</f>
        <v>#REF!</v>
      </c>
      <c r="C19" s="63" t="e">
        <f t="shared" si="0"/>
        <v>#REF!</v>
      </c>
      <c r="D19" s="47">
        <f>COUNTIFS('Self-Assessment_Cases'!$E$4:$E$657,"AU-11",'Self-Assessment_Cases'!$I4:$I657,"In Progress - Administrative")</f>
        <v>0</v>
      </c>
      <c r="E19" s="64">
        <f t="shared" si="1"/>
        <v>0</v>
      </c>
      <c r="F19" s="62">
        <f>COUNTIFS('Self-Assessment_Cases'!$E$4:$E$657,"AU-11",'Self-Assessment_Cases'!$I4:$I657,"In Progress - Configuration")</f>
        <v>0</v>
      </c>
      <c r="G19" s="65">
        <f t="shared" si="2"/>
        <v>0</v>
      </c>
      <c r="H19" s="48">
        <f>COUNTIFS('Self-Assessment_Cases'!$E$4:$E$657,"AU-11",'Self-Assessment_Cases'!$I4:$I657,"In Progress - Installation/Upgrade")</f>
        <v>0</v>
      </c>
      <c r="I19" s="66">
        <f t="shared" si="3"/>
        <v>0</v>
      </c>
      <c r="J19" s="49">
        <f>COUNTIFS('Self-Assessment_Cases'!$E$4:$E$657,"AU-11",'Self-Assessment_Cases'!$I4:$I657,"Not Implemented - Compensating Control")</f>
        <v>0</v>
      </c>
      <c r="K19" s="67">
        <f t="shared" si="4"/>
        <v>0</v>
      </c>
      <c r="L19" s="50">
        <f>COUNTIFS('Self-Assessment_Cases'!$E$4:$E$657,"AU-11",'Self-Assessment_Cases'!$I4:$I657,"Not Implemented - Risk Negligible")</f>
        <v>0</v>
      </c>
      <c r="M19" s="56">
        <f t="shared" si="5"/>
        <v>0</v>
      </c>
      <c r="N19" s="57">
        <f>COUNTIFS('Self-Assessment_Cases'!$E$4:$E$657,"AU-11",'Self-Assessment_Cases'!$I4:$I657,"Not Implemented - Risk Accepted")</f>
        <v>0</v>
      </c>
      <c r="O19" s="57">
        <f t="shared" si="6"/>
        <v>0</v>
      </c>
      <c r="P19" s="58">
        <f>COUNTIFS('Self-Assessment_Cases'!$E$4:$E$657,"AU-11",'Self-Assessment_Cases'!$I4:$I657,"Not Implemented - Planned")</f>
        <v>0</v>
      </c>
      <c r="Q19" s="58">
        <f t="shared" si="7"/>
        <v>0</v>
      </c>
      <c r="R19" s="59">
        <f>COUNTIFS('Self-Assessment_Cases'!$E$4:$E$657,"AU-11",'Self-Assessment_Cases'!$I4:$I657,"Not Implemented - Unplanned")</f>
        <v>0</v>
      </c>
      <c r="S19" s="59">
        <f t="shared" si="8"/>
        <v>0</v>
      </c>
      <c r="T19" s="60">
        <f>COUNTIFS('Self-Assessment_Cases'!$E$4:$E$657,"AU-11",'Self-Assessment_Cases'!$I4:$I657,"Not Applicable")</f>
        <v>0</v>
      </c>
      <c r="U19" s="61"/>
      <c r="V19" s="68" t="e">
        <f t="shared" si="9"/>
        <v>#REF!</v>
      </c>
      <c r="W19" s="44" t="e">
        <f t="shared" si="10"/>
        <v>#REF!</v>
      </c>
    </row>
    <row r="20" spans="1:23" ht="15" customHeight="1" x14ac:dyDescent="0.2">
      <c r="A20" s="45" t="s">
        <v>1466</v>
      </c>
      <c r="B20" s="46" t="e">
        <f>COUNTIF('Self-Assessment_Cases'!#REF!,"*"&amp;A20&amp;"*")</f>
        <v>#REF!</v>
      </c>
      <c r="C20" s="63" t="e">
        <f t="shared" si="0"/>
        <v>#REF!</v>
      </c>
      <c r="D20" s="47">
        <f>COUNTIFS('Self-Assessment_Cases'!$E$4:$E$657,"AU-12",'Self-Assessment_Cases'!$I4:$I657,"In Progress - Administrative")</f>
        <v>0</v>
      </c>
      <c r="E20" s="64">
        <f t="shared" si="1"/>
        <v>0</v>
      </c>
      <c r="F20" s="62">
        <f>COUNTIFS('Self-Assessment_Cases'!$E$4:$E$657,"AU-12",'Self-Assessment_Cases'!$I4:$I657,"In Progress - Configuration")</f>
        <v>0</v>
      </c>
      <c r="G20" s="65">
        <f t="shared" si="2"/>
        <v>0</v>
      </c>
      <c r="H20" s="48">
        <f>COUNTIFS('Self-Assessment_Cases'!$E$4:$E$657,"AU-12",'Self-Assessment_Cases'!$I4:$I657,"In Progress - Installation/Upgrade")</f>
        <v>0</v>
      </c>
      <c r="I20" s="66">
        <f t="shared" si="3"/>
        <v>0</v>
      </c>
      <c r="J20" s="49">
        <f>COUNTIFS('Self-Assessment_Cases'!$E$4:$E$657,"AU-12",'Self-Assessment_Cases'!$I4:$I657,"Not Implemented - Compensating Control")</f>
        <v>0</v>
      </c>
      <c r="K20" s="67">
        <f t="shared" si="4"/>
        <v>0</v>
      </c>
      <c r="L20" s="50">
        <f>COUNTIFS('Self-Assessment_Cases'!$E$4:$E$657,"AU-12",'Self-Assessment_Cases'!$I4:$I657,"Not Implemented - Risk Negligible")</f>
        <v>0</v>
      </c>
      <c r="M20" s="56">
        <f t="shared" si="5"/>
        <v>0</v>
      </c>
      <c r="N20" s="57">
        <f>COUNTIFS('Self-Assessment_Cases'!$E$4:$E$657,"AU-12",'Self-Assessment_Cases'!$I4:$I657,"Not Implemented - Risk Accepted")</f>
        <v>0</v>
      </c>
      <c r="O20" s="57">
        <f t="shared" si="6"/>
        <v>0</v>
      </c>
      <c r="P20" s="58">
        <f>COUNTIFS('Self-Assessment_Cases'!$E$4:$E$657,"AU-12",'Self-Assessment_Cases'!$I4:$I657,"Not Implemented - Planned")</f>
        <v>0</v>
      </c>
      <c r="Q20" s="58">
        <f t="shared" si="7"/>
        <v>0</v>
      </c>
      <c r="R20" s="59">
        <f>COUNTIFS('Self-Assessment_Cases'!$E$4:$E$657,"AU-12",'Self-Assessment_Cases'!$I4:$I657,"Not Implemented - Unplanned")</f>
        <v>0</v>
      </c>
      <c r="S20" s="59">
        <f t="shared" si="8"/>
        <v>0</v>
      </c>
      <c r="T20" s="60">
        <f>COUNTIFS('Self-Assessment_Cases'!$E$4:$E$657,"AU-12",'Self-Assessment_Cases'!$I4:$I657,"Not Applicable")</f>
        <v>0</v>
      </c>
      <c r="U20" s="61"/>
      <c r="V20" s="68" t="e">
        <f t="shared" si="9"/>
        <v>#REF!</v>
      </c>
      <c r="W20" s="44" t="e">
        <f t="shared" si="10"/>
        <v>#REF!</v>
      </c>
    </row>
    <row r="21" spans="1:23" ht="15" customHeight="1" x14ac:dyDescent="0.2">
      <c r="A21" s="45" t="s">
        <v>1436</v>
      </c>
      <c r="B21" s="46" t="e">
        <f>COUNTIF('Self-Assessment_Cases'!#REF!,"*"&amp;A21&amp;"*")</f>
        <v>#REF!</v>
      </c>
      <c r="C21" s="63" t="e">
        <f t="shared" si="0"/>
        <v>#REF!</v>
      </c>
      <c r="D21" s="47">
        <f>COUNTIFS('Self-Assessment_Cases'!$E$4:$E$657,"AU-2",'Self-Assessment_Cases'!$I4:$I657,"In Progress - Administrative")</f>
        <v>0</v>
      </c>
      <c r="E21" s="64">
        <f t="shared" si="1"/>
        <v>0</v>
      </c>
      <c r="F21" s="62">
        <f>COUNTIFS('Self-Assessment_Cases'!$E$4:$E$657,"AU-2",'Self-Assessment_Cases'!$I4:$I657,"In Progress - Configuration")</f>
        <v>0</v>
      </c>
      <c r="G21" s="65">
        <f t="shared" si="2"/>
        <v>0</v>
      </c>
      <c r="H21" s="48">
        <f>COUNTIFS('Self-Assessment_Cases'!$E$4:$E$657,"AU-2",'Self-Assessment_Cases'!$I4:$I657,"In Progress - Installation/Upgrade")</f>
        <v>0</v>
      </c>
      <c r="I21" s="66">
        <f t="shared" si="3"/>
        <v>0</v>
      </c>
      <c r="J21" s="49">
        <f>COUNTIFS('Self-Assessment_Cases'!$E$4:$E$657,"AU-2",'Self-Assessment_Cases'!$I4:$I657,"Not Implemented - Compensating Control")</f>
        <v>0</v>
      </c>
      <c r="K21" s="67">
        <f t="shared" si="4"/>
        <v>0</v>
      </c>
      <c r="L21" s="50">
        <f>COUNTIFS('Self-Assessment_Cases'!$E$4:$E$657,"AU-2",'Self-Assessment_Cases'!$I4:$I657,"Not Implemented - Risk Negligible")</f>
        <v>0</v>
      </c>
      <c r="M21" s="56">
        <f t="shared" si="5"/>
        <v>0</v>
      </c>
      <c r="N21" s="57">
        <f>COUNTIFS('Self-Assessment_Cases'!$E$4:$E$657,"AU-2",'Self-Assessment_Cases'!$I4:$I657,"Not Implemented - Risk Accepted")</f>
        <v>0</v>
      </c>
      <c r="O21" s="57">
        <f t="shared" si="6"/>
        <v>0</v>
      </c>
      <c r="P21" s="58">
        <f>COUNTIFS('Self-Assessment_Cases'!$E$4:$E$657,"AU-2",'Self-Assessment_Cases'!$I4:$I657,"Not Implemented - Planned")</f>
        <v>0</v>
      </c>
      <c r="Q21" s="58">
        <f t="shared" si="7"/>
        <v>0</v>
      </c>
      <c r="R21" s="59">
        <f>COUNTIFS('Self-Assessment_Cases'!$E$4:$E$657,"AU-2",'Self-Assessment_Cases'!$I4:$I657,"Not Implemented - Unplanned")</f>
        <v>0</v>
      </c>
      <c r="S21" s="59">
        <f t="shared" si="8"/>
        <v>0</v>
      </c>
      <c r="T21" s="60">
        <f>COUNTIFS('Self-Assessment_Cases'!$E$4:$E$657,"AU-2",'Self-Assessment_Cases'!$I4:$I657,"Not Applicable")</f>
        <v>0</v>
      </c>
      <c r="U21" s="61"/>
      <c r="V21" s="68" t="e">
        <f t="shared" si="9"/>
        <v>#REF!</v>
      </c>
      <c r="W21" s="44" t="e">
        <f t="shared" si="10"/>
        <v>#REF!</v>
      </c>
    </row>
    <row r="22" spans="1:23" ht="15" customHeight="1" x14ac:dyDescent="0.2">
      <c r="A22" s="45" t="s">
        <v>1437</v>
      </c>
      <c r="B22" s="46" t="e">
        <f>COUNTIF('Self-Assessment_Cases'!#REF!,"*"&amp;A22&amp;"*")</f>
        <v>#REF!</v>
      </c>
      <c r="C22" s="63" t="e">
        <f t="shared" si="0"/>
        <v>#REF!</v>
      </c>
      <c r="D22" s="47">
        <f>COUNTIFS('Self-Assessment_Cases'!$E$4:$E$657,"AU-3",'Self-Assessment_Cases'!$I4:$I657,"In Progress - Administrative")</f>
        <v>0</v>
      </c>
      <c r="E22" s="64">
        <f t="shared" si="1"/>
        <v>0</v>
      </c>
      <c r="F22" s="62">
        <f>COUNTIFS('Self-Assessment_Cases'!$E$4:$E$657,"AU-3",'Self-Assessment_Cases'!$I4:$I657,"In Progress - Configuration")</f>
        <v>0</v>
      </c>
      <c r="G22" s="65">
        <f t="shared" si="2"/>
        <v>0</v>
      </c>
      <c r="H22" s="48">
        <f>COUNTIFS('Self-Assessment_Cases'!$E$4:$E$657,"AU-3",'Self-Assessment_Cases'!$I4:$I657,"In Progress - Installation/Upgrade")</f>
        <v>0</v>
      </c>
      <c r="I22" s="66">
        <f t="shared" si="3"/>
        <v>0</v>
      </c>
      <c r="J22" s="49">
        <f>COUNTIFS('Self-Assessment_Cases'!$E$4:$E$657,"AU-3",'Self-Assessment_Cases'!$I4:$I657,"Not Implemented - Compensating Control")</f>
        <v>0</v>
      </c>
      <c r="K22" s="67">
        <f t="shared" si="4"/>
        <v>0</v>
      </c>
      <c r="L22" s="50">
        <f>COUNTIFS('Self-Assessment_Cases'!$E$4:$E$657,"AU-3",'Self-Assessment_Cases'!$I4:$I657,"Not Implemented - Risk Negligible")</f>
        <v>0</v>
      </c>
      <c r="M22" s="56">
        <f t="shared" si="5"/>
        <v>0</v>
      </c>
      <c r="N22" s="57">
        <f>COUNTIFS('Self-Assessment_Cases'!$E$4:$E$657,"AU-3",'Self-Assessment_Cases'!$I4:$I657,"Not Implemented - Risk Accepted")</f>
        <v>0</v>
      </c>
      <c r="O22" s="57">
        <f t="shared" si="6"/>
        <v>0</v>
      </c>
      <c r="P22" s="58">
        <f>COUNTIFS('Self-Assessment_Cases'!$E$4:$E$657,"AU-3",'Self-Assessment_Cases'!$I4:$I657,"Not Implemented - Planned")</f>
        <v>0</v>
      </c>
      <c r="Q22" s="58">
        <f t="shared" si="7"/>
        <v>0</v>
      </c>
      <c r="R22" s="59">
        <f>COUNTIFS('Self-Assessment_Cases'!$E$4:$E$657,"AU-3",'Self-Assessment_Cases'!$I4:$I657,"Not Implemented - Unplanned")</f>
        <v>0</v>
      </c>
      <c r="S22" s="59">
        <f t="shared" si="8"/>
        <v>0</v>
      </c>
      <c r="T22" s="60">
        <f>COUNTIFS('Self-Assessment_Cases'!$E$4:$E$657,"AU-3",'Self-Assessment_Cases'!$I4:$I657,"Not Applicable")</f>
        <v>0</v>
      </c>
      <c r="U22" s="61"/>
      <c r="V22" s="68" t="e">
        <f t="shared" si="9"/>
        <v>#REF!</v>
      </c>
      <c r="W22" s="44" t="e">
        <f t="shared" si="10"/>
        <v>#REF!</v>
      </c>
    </row>
    <row r="23" spans="1:23" ht="15" customHeight="1" x14ac:dyDescent="0.2">
      <c r="A23" s="45" t="s">
        <v>1467</v>
      </c>
      <c r="B23" s="46" t="e">
        <f>COUNTIF('Self-Assessment_Cases'!#REF!,"*"&amp;A23&amp;"*")</f>
        <v>#REF!</v>
      </c>
      <c r="C23" s="63" t="e">
        <f t="shared" si="0"/>
        <v>#REF!</v>
      </c>
      <c r="D23" s="47">
        <f>COUNTIFS('Self-Assessment_Cases'!$E$4:$E$657,"AU-4",'Self-Assessment_Cases'!$I4:$I657,"In Progress - Administrative")</f>
        <v>0</v>
      </c>
      <c r="E23" s="64">
        <f t="shared" si="1"/>
        <v>0</v>
      </c>
      <c r="F23" s="62">
        <f>COUNTIFS('Self-Assessment_Cases'!$E$4:$E$657,"AU-4",'Self-Assessment_Cases'!$I4:$I657,"In Progress - Configuration")</f>
        <v>0</v>
      </c>
      <c r="G23" s="65">
        <f t="shared" si="2"/>
        <v>0</v>
      </c>
      <c r="H23" s="48">
        <f>COUNTIFS('Self-Assessment_Cases'!$E$4:$E$657,"AU-4",'Self-Assessment_Cases'!$I4:$I657,"In Progress - Installation/Upgrade")</f>
        <v>0</v>
      </c>
      <c r="I23" s="66">
        <f t="shared" si="3"/>
        <v>0</v>
      </c>
      <c r="J23" s="49">
        <f>COUNTIFS('Self-Assessment_Cases'!$E$4:$E$657,"AU-4",'Self-Assessment_Cases'!$I4:$I657,"Not Implemented - Compensating Control")</f>
        <v>0</v>
      </c>
      <c r="K23" s="67">
        <f t="shared" si="4"/>
        <v>0</v>
      </c>
      <c r="L23" s="50">
        <f>COUNTIFS('Self-Assessment_Cases'!$E$4:$E$657,"AU-4",'Self-Assessment_Cases'!$I4:$I657,"Not Implemented - Risk Negligible")</f>
        <v>0</v>
      </c>
      <c r="M23" s="56">
        <f t="shared" si="5"/>
        <v>0</v>
      </c>
      <c r="N23" s="57">
        <f>COUNTIFS('Self-Assessment_Cases'!$E$4:$E$657,"AU-4",'Self-Assessment_Cases'!$I4:$I657,"Not Implemented - Risk Accepted")</f>
        <v>0</v>
      </c>
      <c r="O23" s="57">
        <f t="shared" si="6"/>
        <v>0</v>
      </c>
      <c r="P23" s="58">
        <f>COUNTIFS('Self-Assessment_Cases'!$E$4:$E$657,"AU-4",'Self-Assessment_Cases'!$I4:$I657,"Not Implemented - Planned")</f>
        <v>0</v>
      </c>
      <c r="Q23" s="58">
        <f t="shared" si="7"/>
        <v>0</v>
      </c>
      <c r="R23" s="59">
        <f>COUNTIFS('Self-Assessment_Cases'!$E$4:$E$657,"AU-4",'Self-Assessment_Cases'!$I4:$I657,"Not Implemented - Unplanned")</f>
        <v>0</v>
      </c>
      <c r="S23" s="59">
        <f t="shared" si="8"/>
        <v>0</v>
      </c>
      <c r="T23" s="60">
        <f>COUNTIFS('Self-Assessment_Cases'!$E$4:$E$657,"AU-4",'Self-Assessment_Cases'!$I4:$I657,"Not Applicable")</f>
        <v>0</v>
      </c>
      <c r="U23" s="61"/>
      <c r="V23" s="68" t="e">
        <f t="shared" si="9"/>
        <v>#REF!</v>
      </c>
      <c r="W23" s="44" t="e">
        <f t="shared" si="10"/>
        <v>#REF!</v>
      </c>
    </row>
    <row r="24" spans="1:23" ht="15" customHeight="1" x14ac:dyDescent="0.2">
      <c r="A24" s="45" t="s">
        <v>1468</v>
      </c>
      <c r="B24" s="46" t="e">
        <f>COUNTIF('Self-Assessment_Cases'!#REF!,"*"&amp;A24&amp;"*")</f>
        <v>#REF!</v>
      </c>
      <c r="C24" s="63" t="e">
        <f t="shared" si="0"/>
        <v>#REF!</v>
      </c>
      <c r="D24" s="47">
        <f>COUNTIFS('Self-Assessment_Cases'!$E$4:$E$657,"AU-5",'Self-Assessment_Cases'!$I4:$I657,"In Progress - Administrative")</f>
        <v>0</v>
      </c>
      <c r="E24" s="64">
        <f t="shared" si="1"/>
        <v>0</v>
      </c>
      <c r="F24" s="62">
        <f>COUNTIFS('Self-Assessment_Cases'!$E$4:$E$657,"AU-5",'Self-Assessment_Cases'!$I4:$I657,"In Progress - Configuration")</f>
        <v>0</v>
      </c>
      <c r="G24" s="65">
        <f t="shared" si="2"/>
        <v>0</v>
      </c>
      <c r="H24" s="48">
        <f>COUNTIFS('Self-Assessment_Cases'!$E$4:$E$657,"AU-5",'Self-Assessment_Cases'!$I4:$I657,"In Progress - Installation/Upgrade")</f>
        <v>0</v>
      </c>
      <c r="I24" s="66">
        <f t="shared" si="3"/>
        <v>0</v>
      </c>
      <c r="J24" s="49">
        <f>COUNTIFS('Self-Assessment_Cases'!$E$4:$E$657,"AU-5",'Self-Assessment_Cases'!$I4:$I657,"Not Implemented - Compensating Control")</f>
        <v>0</v>
      </c>
      <c r="K24" s="67">
        <f t="shared" si="4"/>
        <v>0</v>
      </c>
      <c r="L24" s="50">
        <f>COUNTIFS('Self-Assessment_Cases'!$E$4:$E$657,"AU-5",'Self-Assessment_Cases'!$I4:$I657,"Not Implemented - Risk Negligible")</f>
        <v>0</v>
      </c>
      <c r="M24" s="56">
        <f t="shared" si="5"/>
        <v>0</v>
      </c>
      <c r="N24" s="57">
        <f>COUNTIFS('Self-Assessment_Cases'!$E$4:$E$657,"AU-5",'Self-Assessment_Cases'!$I4:$I657,"Not Implemented - Risk Accepted")</f>
        <v>0</v>
      </c>
      <c r="O24" s="57">
        <f t="shared" si="6"/>
        <v>0</v>
      </c>
      <c r="P24" s="58">
        <f>COUNTIFS('Self-Assessment_Cases'!$E$4:$E$657,"AU-5",'Self-Assessment_Cases'!$I4:$I657,"Not Implemented - Planned")</f>
        <v>0</v>
      </c>
      <c r="Q24" s="58">
        <f t="shared" si="7"/>
        <v>0</v>
      </c>
      <c r="R24" s="59">
        <f>COUNTIFS('Self-Assessment_Cases'!$E$4:$E$657,"AU-5",'Self-Assessment_Cases'!$I4:$I657,"Not Implemented - Unplanned")</f>
        <v>0</v>
      </c>
      <c r="S24" s="59">
        <f t="shared" si="8"/>
        <v>0</v>
      </c>
      <c r="T24" s="60">
        <f>COUNTIFS('Self-Assessment_Cases'!$E$4:$E$657,"AU-5",'Self-Assessment_Cases'!$I4:$I657,"Not Applicable")</f>
        <v>0</v>
      </c>
      <c r="U24" s="61"/>
      <c r="V24" s="68" t="e">
        <f t="shared" si="9"/>
        <v>#REF!</v>
      </c>
      <c r="W24" s="44" t="e">
        <f t="shared" si="10"/>
        <v>#REF!</v>
      </c>
    </row>
    <row r="25" spans="1:23" ht="15" customHeight="1" x14ac:dyDescent="0.2">
      <c r="A25" s="45" t="s">
        <v>1469</v>
      </c>
      <c r="B25" s="46" t="e">
        <f>COUNTIF('Self-Assessment_Cases'!#REF!,"*"&amp;A25&amp;"*")</f>
        <v>#REF!</v>
      </c>
      <c r="C25" s="63" t="e">
        <f t="shared" si="0"/>
        <v>#REF!</v>
      </c>
      <c r="D25" s="47">
        <f>COUNTIFS('Self-Assessment_Cases'!$E$4:$E$657,"AU-6",'Self-Assessment_Cases'!$I4:$I657,"In Progress - Administrative")</f>
        <v>0</v>
      </c>
      <c r="E25" s="64">
        <f t="shared" si="1"/>
        <v>0</v>
      </c>
      <c r="F25" s="62">
        <f>COUNTIFS('Self-Assessment_Cases'!$E$4:$E$657,"AU-6",'Self-Assessment_Cases'!$I4:$I657,"In Progress - Configuration")</f>
        <v>0</v>
      </c>
      <c r="G25" s="65">
        <f t="shared" si="2"/>
        <v>0</v>
      </c>
      <c r="H25" s="48">
        <f>COUNTIFS('Self-Assessment_Cases'!$E$4:$E$657,"AU-6",'Self-Assessment_Cases'!$I4:$I657,"In Progress - Installation/Upgrade")</f>
        <v>0</v>
      </c>
      <c r="I25" s="66">
        <f t="shared" si="3"/>
        <v>0</v>
      </c>
      <c r="J25" s="49">
        <f>COUNTIFS('Self-Assessment_Cases'!$E$4:$E$657,"AU-6",'Self-Assessment_Cases'!$I4:$I657,"Not Implemented - Compensating Control")</f>
        <v>0</v>
      </c>
      <c r="K25" s="67">
        <f t="shared" si="4"/>
        <v>0</v>
      </c>
      <c r="L25" s="50">
        <f>COUNTIFS('Self-Assessment_Cases'!$E$4:$E$657,"AU-6",'Self-Assessment_Cases'!$I4:$I657,"Not Implemented - Risk Negligible")</f>
        <v>0</v>
      </c>
      <c r="M25" s="56">
        <f t="shared" si="5"/>
        <v>0</v>
      </c>
      <c r="N25" s="57">
        <f>COUNTIFS('Self-Assessment_Cases'!$E$4:$E$657,"AU-6",'Self-Assessment_Cases'!$I4:$I657,"Not Implemented - Risk Accepted")</f>
        <v>0</v>
      </c>
      <c r="O25" s="57">
        <f t="shared" si="6"/>
        <v>0</v>
      </c>
      <c r="P25" s="58">
        <f>COUNTIFS('Self-Assessment_Cases'!$E$4:$E$657,"AU-6",'Self-Assessment_Cases'!$I4:$I657,"Not Implemented - Planned")</f>
        <v>0</v>
      </c>
      <c r="Q25" s="58">
        <f t="shared" si="7"/>
        <v>0</v>
      </c>
      <c r="R25" s="59">
        <f>COUNTIFS('Self-Assessment_Cases'!$E$4:$E$657,"AU-6",'Self-Assessment_Cases'!$I4:$I657,"Not Implemented - Unplanned")</f>
        <v>0</v>
      </c>
      <c r="S25" s="59">
        <f t="shared" si="8"/>
        <v>0</v>
      </c>
      <c r="T25" s="60">
        <f>COUNTIFS('Self-Assessment_Cases'!$E$4:$E$657,"AU-6",'Self-Assessment_Cases'!$I4:$I657,"Not Applicable")</f>
        <v>0</v>
      </c>
      <c r="U25" s="61"/>
      <c r="V25" s="68" t="e">
        <f t="shared" si="9"/>
        <v>#REF!</v>
      </c>
      <c r="W25" s="44" t="e">
        <f t="shared" si="10"/>
        <v>#REF!</v>
      </c>
    </row>
    <row r="26" spans="1:23" ht="15" customHeight="1" x14ac:dyDescent="0.2">
      <c r="A26" s="45" t="s">
        <v>1470</v>
      </c>
      <c r="B26" s="46" t="e">
        <f>COUNTIF('Self-Assessment_Cases'!#REF!,"*"&amp;A26&amp;"*")</f>
        <v>#REF!</v>
      </c>
      <c r="C26" s="63" t="e">
        <f t="shared" si="0"/>
        <v>#REF!</v>
      </c>
      <c r="D26" s="47">
        <f>COUNTIFS('Self-Assessment_Cases'!$E$4:$E$657,"AU-7",'Self-Assessment_Cases'!$I4:$I657,"In Progress - Administrative")</f>
        <v>0</v>
      </c>
      <c r="E26" s="64">
        <f t="shared" si="1"/>
        <v>0</v>
      </c>
      <c r="F26" s="62">
        <f>COUNTIFS('Self-Assessment_Cases'!$E$4:$E$657,"AU-7",'Self-Assessment_Cases'!$I4:$I657,"In Progress - Configuration")</f>
        <v>0</v>
      </c>
      <c r="G26" s="65">
        <f t="shared" si="2"/>
        <v>0</v>
      </c>
      <c r="H26" s="48">
        <f>COUNTIFS('Self-Assessment_Cases'!$E$4:$E$657,"AU-7",'Self-Assessment_Cases'!$I4:$I657,"In Progress - Installation/Upgrade")</f>
        <v>0</v>
      </c>
      <c r="I26" s="66">
        <f t="shared" si="3"/>
        <v>0</v>
      </c>
      <c r="J26" s="49">
        <f>COUNTIFS('Self-Assessment_Cases'!$E$4:$E$657,"AU-7",'Self-Assessment_Cases'!$I4:$I657,"Not Implemented - Compensating Control")</f>
        <v>0</v>
      </c>
      <c r="K26" s="67">
        <f t="shared" si="4"/>
        <v>0</v>
      </c>
      <c r="L26" s="50">
        <f>COUNTIFS('Self-Assessment_Cases'!$E$4:$E$657,"AU-7",'Self-Assessment_Cases'!$I4:$I657,"Not Implemented - Risk Negligible")</f>
        <v>0</v>
      </c>
      <c r="M26" s="56">
        <f t="shared" si="5"/>
        <v>0</v>
      </c>
      <c r="N26" s="57">
        <f>COUNTIFS('Self-Assessment_Cases'!$E$4:$E$657,"AU-7",'Self-Assessment_Cases'!$I4:$I657,"Not Implemented - Risk Accepted")</f>
        <v>0</v>
      </c>
      <c r="O26" s="57">
        <f t="shared" si="6"/>
        <v>0</v>
      </c>
      <c r="P26" s="58">
        <f>COUNTIFS('Self-Assessment_Cases'!$E$4:$E$657,"AU-7",'Self-Assessment_Cases'!$I4:$I657,"Not Implemented - Planned")</f>
        <v>0</v>
      </c>
      <c r="Q26" s="58">
        <f t="shared" si="7"/>
        <v>0</v>
      </c>
      <c r="R26" s="59">
        <f>COUNTIFS('Self-Assessment_Cases'!$E$4:$E$657,"AU-7",'Self-Assessment_Cases'!$I4:$I657,"Not Implemented - Unplanned")</f>
        <v>0</v>
      </c>
      <c r="S26" s="59">
        <f t="shared" si="8"/>
        <v>0</v>
      </c>
      <c r="T26" s="60">
        <f>COUNTIFS('Self-Assessment_Cases'!$E$4:$E$657,"AU-7",'Self-Assessment_Cases'!$I4:$I657,"Not Applicable")</f>
        <v>0</v>
      </c>
      <c r="U26" s="61"/>
      <c r="V26" s="68" t="e">
        <f t="shared" si="9"/>
        <v>#REF!</v>
      </c>
      <c r="W26" s="44" t="e">
        <f t="shared" si="10"/>
        <v>#REF!</v>
      </c>
    </row>
    <row r="27" spans="1:23" ht="15" customHeight="1" x14ac:dyDescent="0.2">
      <c r="A27" s="45" t="s">
        <v>1471</v>
      </c>
      <c r="B27" s="46" t="e">
        <f>COUNTIF('Self-Assessment_Cases'!#REF!,"*"&amp;A27&amp;"*")</f>
        <v>#REF!</v>
      </c>
      <c r="C27" s="63" t="e">
        <f t="shared" si="0"/>
        <v>#REF!</v>
      </c>
      <c r="D27" s="47">
        <f>COUNTIFS('Self-Assessment_Cases'!$E$4:$E$657,"AU-8",'Self-Assessment_Cases'!$I4:$I657,"In Progress - Administrative")</f>
        <v>0</v>
      </c>
      <c r="E27" s="64">
        <f t="shared" si="1"/>
        <v>0</v>
      </c>
      <c r="F27" s="62">
        <f>COUNTIFS('Self-Assessment_Cases'!$E$4:$E$657,"AU-8",'Self-Assessment_Cases'!$I4:$I657,"In Progress - Configuration")</f>
        <v>0</v>
      </c>
      <c r="G27" s="65">
        <f t="shared" si="2"/>
        <v>0</v>
      </c>
      <c r="H27" s="48">
        <f>COUNTIFS('Self-Assessment_Cases'!$E$4:$E$657,"AU-8",'Self-Assessment_Cases'!$I4:$I657,"In Progress - Installation/Upgrade")</f>
        <v>0</v>
      </c>
      <c r="I27" s="66">
        <f t="shared" si="3"/>
        <v>0</v>
      </c>
      <c r="J27" s="49">
        <f>COUNTIFS('Self-Assessment_Cases'!$E$4:$E$657,"AU-8",'Self-Assessment_Cases'!$I4:$I657,"Not Implemented - Compensating Control")</f>
        <v>0</v>
      </c>
      <c r="K27" s="67">
        <f t="shared" si="4"/>
        <v>0</v>
      </c>
      <c r="L27" s="50">
        <f>COUNTIFS('Self-Assessment_Cases'!$E$4:$E$657,"AU-8",'Self-Assessment_Cases'!$I4:$I657,"Not Implemented - Risk Negligible")</f>
        <v>0</v>
      </c>
      <c r="M27" s="56">
        <f t="shared" si="5"/>
        <v>0</v>
      </c>
      <c r="N27" s="57">
        <f>COUNTIFS('Self-Assessment_Cases'!$E$4:$E$657,"AU-8",'Self-Assessment_Cases'!$I4:$I657,"Not Implemented - Risk Accepted")</f>
        <v>0</v>
      </c>
      <c r="O27" s="57">
        <f t="shared" si="6"/>
        <v>0</v>
      </c>
      <c r="P27" s="58">
        <f>COUNTIFS('Self-Assessment_Cases'!$E$4:$E$657,"AU-8",'Self-Assessment_Cases'!$I4:$I657,"Not Implemented - Planned")</f>
        <v>0</v>
      </c>
      <c r="Q27" s="58">
        <f t="shared" si="7"/>
        <v>0</v>
      </c>
      <c r="R27" s="59">
        <f>COUNTIFS('Self-Assessment_Cases'!$E$4:$E$657,"AU-8",'Self-Assessment_Cases'!$I4:$I657,"Not Implemented - Unplanned")</f>
        <v>0</v>
      </c>
      <c r="S27" s="59">
        <f t="shared" si="8"/>
        <v>0</v>
      </c>
      <c r="T27" s="60">
        <f>COUNTIFS('Self-Assessment_Cases'!$E$4:$E$657,"AU-8",'Self-Assessment_Cases'!$I4:$I657,"Not Applicable")</f>
        <v>0</v>
      </c>
      <c r="U27" s="61"/>
      <c r="V27" s="68" t="e">
        <f t="shared" si="9"/>
        <v>#REF!</v>
      </c>
      <c r="W27" s="44" t="e">
        <f t="shared" si="10"/>
        <v>#REF!</v>
      </c>
    </row>
    <row r="28" spans="1:23" ht="15" customHeight="1" x14ac:dyDescent="0.2">
      <c r="A28" s="45" t="s">
        <v>1472</v>
      </c>
      <c r="B28" s="46" t="e">
        <f>COUNTIF('Self-Assessment_Cases'!#REF!,"*"&amp;A28&amp;"*")</f>
        <v>#REF!</v>
      </c>
      <c r="C28" s="63" t="e">
        <f t="shared" si="0"/>
        <v>#REF!</v>
      </c>
      <c r="D28" s="47">
        <f>COUNTIFS('Self-Assessment_Cases'!$E$4:$E$657,"AU-9",'Self-Assessment_Cases'!$I4:$I657,"In Progress - Administrative")</f>
        <v>0</v>
      </c>
      <c r="E28" s="64">
        <f t="shared" si="1"/>
        <v>0</v>
      </c>
      <c r="F28" s="62">
        <f>COUNTIFS('Self-Assessment_Cases'!$E$4:$E$657,"AU-9",'Self-Assessment_Cases'!$I4:$I657,"In Progress - Configuration")</f>
        <v>0</v>
      </c>
      <c r="G28" s="65">
        <f t="shared" si="2"/>
        <v>0</v>
      </c>
      <c r="H28" s="48">
        <f>COUNTIFS('Self-Assessment_Cases'!$E$4:$E$657,"AU-9",'Self-Assessment_Cases'!$I4:$I657,"In Progress - Installation/Upgrade")</f>
        <v>0</v>
      </c>
      <c r="I28" s="66">
        <f t="shared" si="3"/>
        <v>0</v>
      </c>
      <c r="J28" s="49">
        <f>COUNTIFS('Self-Assessment_Cases'!$E$4:$E$657,"AU-9",'Self-Assessment_Cases'!$I4:$I657,"Not Implemented - Compensating Control")</f>
        <v>0</v>
      </c>
      <c r="K28" s="67">
        <f t="shared" si="4"/>
        <v>0</v>
      </c>
      <c r="L28" s="50">
        <f>COUNTIFS('Self-Assessment_Cases'!$E$4:$E$657,"AU-9",'Self-Assessment_Cases'!$I4:$I657,"Not Implemented - Risk Negligible")</f>
        <v>0</v>
      </c>
      <c r="M28" s="56">
        <f t="shared" si="5"/>
        <v>0</v>
      </c>
      <c r="N28" s="57">
        <f>COUNTIFS('Self-Assessment_Cases'!$E$4:$E$657,"AU-9",'Self-Assessment_Cases'!$I4:$I657,"Not Implemented - Risk Accepted")</f>
        <v>0</v>
      </c>
      <c r="O28" s="57">
        <f t="shared" si="6"/>
        <v>0</v>
      </c>
      <c r="P28" s="58">
        <f>COUNTIFS('Self-Assessment_Cases'!$E$4:$E$657,"AU-9",'Self-Assessment_Cases'!$I4:$I657,"Not Implemented - Planned")</f>
        <v>0</v>
      </c>
      <c r="Q28" s="58">
        <f t="shared" si="7"/>
        <v>0</v>
      </c>
      <c r="R28" s="59">
        <f>COUNTIFS('Self-Assessment_Cases'!$E$4:$E$657,"AU-9",'Self-Assessment_Cases'!$I4:$I657,"Not Implemented - Unplanned")</f>
        <v>0</v>
      </c>
      <c r="S28" s="59">
        <f t="shared" si="8"/>
        <v>0</v>
      </c>
      <c r="T28" s="60">
        <f>COUNTIFS('Self-Assessment_Cases'!$E$4:$E$657,"AU-9",'Self-Assessment_Cases'!$I4:$I657,"Not Applicable")</f>
        <v>0</v>
      </c>
      <c r="U28" s="61"/>
      <c r="V28" s="68" t="e">
        <f t="shared" si="9"/>
        <v>#REF!</v>
      </c>
      <c r="W28" s="44" t="e">
        <f t="shared" si="10"/>
        <v>#REF!</v>
      </c>
    </row>
    <row r="29" spans="1:23" ht="15" customHeight="1" x14ac:dyDescent="0.2">
      <c r="A29" s="45" t="s">
        <v>1473</v>
      </c>
      <c r="B29" s="46" t="e">
        <f>COUNTIF('Self-Assessment_Cases'!#REF!,"*"&amp;A29&amp;"*")</f>
        <v>#REF!</v>
      </c>
      <c r="C29" s="63" t="e">
        <f t="shared" si="0"/>
        <v>#REF!</v>
      </c>
      <c r="D29" s="47">
        <f>COUNTIFS('Self-Assessment_Cases'!$E$4:$E$657,"CA-1",'Self-Assessment_Cases'!$I4:$I657,"In Progress - Administrative")</f>
        <v>0</v>
      </c>
      <c r="E29" s="64">
        <f t="shared" si="1"/>
        <v>0</v>
      </c>
      <c r="F29" s="62">
        <f>COUNTIFS('Self-Assessment_Cases'!$E$4:$E$657,"CA-1",'Self-Assessment_Cases'!$I4:$I657,"In Progress - Configuration")</f>
        <v>0</v>
      </c>
      <c r="G29" s="65">
        <f t="shared" si="2"/>
        <v>0</v>
      </c>
      <c r="H29" s="48">
        <f>COUNTIFS('Self-Assessment_Cases'!$E$4:$E$657,"CA-1",'Self-Assessment_Cases'!$I4:$I657,"In Progress - Installation/Upgrade")</f>
        <v>0</v>
      </c>
      <c r="I29" s="66">
        <f t="shared" si="3"/>
        <v>0</v>
      </c>
      <c r="J29" s="49">
        <f>COUNTIFS('Self-Assessment_Cases'!$E$4:$E$657,"CA-1",'Self-Assessment_Cases'!$I4:$I657,"Not Implemented - Compensating Control")</f>
        <v>0</v>
      </c>
      <c r="K29" s="67">
        <f t="shared" si="4"/>
        <v>0</v>
      </c>
      <c r="L29" s="50">
        <f>COUNTIFS('Self-Assessment_Cases'!$E$4:$E$657,"CA-1",'Self-Assessment_Cases'!$I4:$I657,"Not Implemented - Risk Negligible")</f>
        <v>0</v>
      </c>
      <c r="M29" s="56">
        <f t="shared" si="5"/>
        <v>0</v>
      </c>
      <c r="N29" s="57">
        <f>COUNTIFS('Self-Assessment_Cases'!$E$4:$E$657,"CA-1",'Self-Assessment_Cases'!$I4:$I657,"Not Implemented - Risk Accepted")</f>
        <v>0</v>
      </c>
      <c r="O29" s="57">
        <f t="shared" si="6"/>
        <v>0</v>
      </c>
      <c r="P29" s="58">
        <f>COUNTIFS('Self-Assessment_Cases'!$E$4:$E$657,"CA-1",'Self-Assessment_Cases'!$I4:$I657,"Not Implemented - Planned")</f>
        <v>0</v>
      </c>
      <c r="Q29" s="58">
        <f t="shared" si="7"/>
        <v>0</v>
      </c>
      <c r="R29" s="59">
        <f>COUNTIFS('Self-Assessment_Cases'!$E$4:$E$657,"CA-1",'Self-Assessment_Cases'!$I4:$I657,"Not Implemented - Unplanned")</f>
        <v>0</v>
      </c>
      <c r="S29" s="59">
        <f t="shared" si="8"/>
        <v>0</v>
      </c>
      <c r="T29" s="60">
        <f>COUNTIFS('Self-Assessment_Cases'!$E$4:$E$657,"CA-1",'Self-Assessment_Cases'!$I4:$I657,"Not Applicable")</f>
        <v>0</v>
      </c>
      <c r="U29" s="61"/>
      <c r="V29" s="68" t="e">
        <f t="shared" si="9"/>
        <v>#REF!</v>
      </c>
      <c r="W29" s="44" t="e">
        <f t="shared" si="10"/>
        <v>#REF!</v>
      </c>
    </row>
    <row r="30" spans="1:23" ht="15" customHeight="1" x14ac:dyDescent="0.2">
      <c r="A30" s="45" t="s">
        <v>1474</v>
      </c>
      <c r="B30" s="46" t="e">
        <f>COUNTIF('Self-Assessment_Cases'!#REF!,"*"&amp;A30&amp;"*")</f>
        <v>#REF!</v>
      </c>
      <c r="C30" s="63" t="e">
        <f t="shared" si="0"/>
        <v>#REF!</v>
      </c>
      <c r="D30" s="47">
        <f>COUNTIFS('Self-Assessment_Cases'!$E$4:$E$657,"CA-2",'Self-Assessment_Cases'!$I4:$I657,"In Progress - Administrative")</f>
        <v>0</v>
      </c>
      <c r="E30" s="64">
        <f t="shared" si="1"/>
        <v>0</v>
      </c>
      <c r="F30" s="62">
        <f>COUNTIFS('Self-Assessment_Cases'!$E$4:$E$657,"CA-2",'Self-Assessment_Cases'!$I4:$I657,"In Progress - Configuration")</f>
        <v>0</v>
      </c>
      <c r="G30" s="65">
        <f t="shared" si="2"/>
        <v>0</v>
      </c>
      <c r="H30" s="48">
        <f>COUNTIFS('Self-Assessment_Cases'!$E$4:$E$657,"CA-2",'Self-Assessment_Cases'!$I4:$I657,"In Progress - Installation/Upgrade")</f>
        <v>0</v>
      </c>
      <c r="I30" s="66">
        <f t="shared" si="3"/>
        <v>0</v>
      </c>
      <c r="J30" s="49">
        <f>COUNTIFS('Self-Assessment_Cases'!$E$4:$E$657,"CA-2",'Self-Assessment_Cases'!$I4:$I657,"Not Implemented - Compensating Control")</f>
        <v>0</v>
      </c>
      <c r="K30" s="67">
        <f t="shared" si="4"/>
        <v>0</v>
      </c>
      <c r="L30" s="50">
        <f>COUNTIFS('Self-Assessment_Cases'!$E$4:$E$657,"CA-2",'Self-Assessment_Cases'!$I4:$I657,"Not Implemented - Risk Negligible")</f>
        <v>0</v>
      </c>
      <c r="M30" s="56">
        <f t="shared" si="5"/>
        <v>0</v>
      </c>
      <c r="N30" s="57">
        <f>COUNTIFS('Self-Assessment_Cases'!$E$4:$E$657,"CA-2",'Self-Assessment_Cases'!$I4:$I657,"Not Implemented - Risk Accepted")</f>
        <v>0</v>
      </c>
      <c r="O30" s="57">
        <f t="shared" si="6"/>
        <v>0</v>
      </c>
      <c r="P30" s="58">
        <f>COUNTIFS('Self-Assessment_Cases'!$E$4:$E$657,"CA-2",'Self-Assessment_Cases'!$I4:$I657,"Not Implemented - Planned")</f>
        <v>0</v>
      </c>
      <c r="Q30" s="58">
        <f t="shared" si="7"/>
        <v>0</v>
      </c>
      <c r="R30" s="59">
        <f>COUNTIFS('Self-Assessment_Cases'!$E$4:$E$657,"CA-2",'Self-Assessment_Cases'!$I4:$I657,"Not Implemented - Unplanned")</f>
        <v>0</v>
      </c>
      <c r="S30" s="59">
        <f t="shared" si="8"/>
        <v>0</v>
      </c>
      <c r="T30" s="60">
        <f>COUNTIFS('Self-Assessment_Cases'!$E$4:$E$657,"CA-2",'Self-Assessment_Cases'!$I4:$I657,"Not Applicable")</f>
        <v>0</v>
      </c>
      <c r="U30" s="61"/>
      <c r="V30" s="68" t="e">
        <f t="shared" si="9"/>
        <v>#REF!</v>
      </c>
      <c r="W30" s="44" t="e">
        <f t="shared" si="10"/>
        <v>#REF!</v>
      </c>
    </row>
    <row r="31" spans="1:23" ht="15" customHeight="1" x14ac:dyDescent="0.2">
      <c r="A31" s="45" t="s">
        <v>1475</v>
      </c>
      <c r="B31" s="46" t="e">
        <f>COUNTIF('Self-Assessment_Cases'!#REF!,"*"&amp;A31&amp;"*")</f>
        <v>#REF!</v>
      </c>
      <c r="C31" s="63" t="e">
        <f t="shared" si="0"/>
        <v>#REF!</v>
      </c>
      <c r="D31" s="47">
        <f>COUNTIFS('Self-Assessment_Cases'!$E$4:$E$657,"CA-3",'Self-Assessment_Cases'!$I4:$I657,"In Progress - Administrative")</f>
        <v>0</v>
      </c>
      <c r="E31" s="64">
        <f t="shared" si="1"/>
        <v>0</v>
      </c>
      <c r="F31" s="62">
        <f>COUNTIFS('Self-Assessment_Cases'!$E$4:$E$657,"CA-3",'Self-Assessment_Cases'!$I4:$I657,"In Progress - Configuration")</f>
        <v>0</v>
      </c>
      <c r="G31" s="65">
        <f t="shared" si="2"/>
        <v>0</v>
      </c>
      <c r="H31" s="48">
        <f>COUNTIFS('Self-Assessment_Cases'!$E$4:$E$657,"CA-3",'Self-Assessment_Cases'!$I4:$I657,"In Progress - Installation/Upgrade")</f>
        <v>0</v>
      </c>
      <c r="I31" s="66">
        <f t="shared" si="3"/>
        <v>0</v>
      </c>
      <c r="J31" s="49">
        <f>COUNTIFS('Self-Assessment_Cases'!$E$4:$E$657,"CA-3",'Self-Assessment_Cases'!$I4:$I657,"Not Implemented - Compensating Control")</f>
        <v>0</v>
      </c>
      <c r="K31" s="67">
        <f t="shared" si="4"/>
        <v>0</v>
      </c>
      <c r="L31" s="50">
        <f>COUNTIFS('Self-Assessment_Cases'!$E$4:$E$657,"CA-3",'Self-Assessment_Cases'!$I4:$I657,"Not Implemented - Risk Negligible")</f>
        <v>0</v>
      </c>
      <c r="M31" s="56">
        <f t="shared" si="5"/>
        <v>0</v>
      </c>
      <c r="N31" s="57">
        <f>COUNTIFS('Self-Assessment_Cases'!$E$4:$E$657,"CA-3",'Self-Assessment_Cases'!$I4:$I657,"Not Implemented - Risk Accepted")</f>
        <v>0</v>
      </c>
      <c r="O31" s="57">
        <f t="shared" si="6"/>
        <v>0</v>
      </c>
      <c r="P31" s="58">
        <f>COUNTIFS('Self-Assessment_Cases'!$E$4:$E$657,"CA-3",'Self-Assessment_Cases'!$I4:$I657,"Not Implemented - Planned")</f>
        <v>0</v>
      </c>
      <c r="Q31" s="58">
        <f t="shared" si="7"/>
        <v>0</v>
      </c>
      <c r="R31" s="59">
        <f>COUNTIFS('Self-Assessment_Cases'!$E$4:$E$657,"CA-3",'Self-Assessment_Cases'!$I4:$I657,"Not Implemented - Unplanned")</f>
        <v>0</v>
      </c>
      <c r="S31" s="59">
        <f t="shared" si="8"/>
        <v>0</v>
      </c>
      <c r="T31" s="60">
        <f>COUNTIFS('Self-Assessment_Cases'!$E$4:$E$657,"CA-3",'Self-Assessment_Cases'!$I4:$I657,"Not Applicable")</f>
        <v>0</v>
      </c>
      <c r="U31" s="61"/>
      <c r="V31" s="68" t="e">
        <f t="shared" si="9"/>
        <v>#REF!</v>
      </c>
      <c r="W31" s="44" t="e">
        <f t="shared" si="10"/>
        <v>#REF!</v>
      </c>
    </row>
    <row r="32" spans="1:23" x14ac:dyDescent="0.2">
      <c r="A32" s="45" t="s">
        <v>1476</v>
      </c>
      <c r="B32" s="46" t="e">
        <f>COUNTIF('Self-Assessment_Cases'!#REF!,"*"&amp;A32&amp;"*")</f>
        <v>#REF!</v>
      </c>
      <c r="C32" s="63" t="e">
        <f t="shared" si="0"/>
        <v>#REF!</v>
      </c>
      <c r="D32" s="47">
        <f>COUNTIFS('Self-Assessment_Cases'!$E$4:$E$657,"CA-5",'Self-Assessment_Cases'!$I4:$I657,"In Progress - Administrative")</f>
        <v>0</v>
      </c>
      <c r="E32" s="64">
        <f t="shared" si="1"/>
        <v>0</v>
      </c>
      <c r="F32" s="62">
        <f>COUNTIFS('Self-Assessment_Cases'!$E$4:$E$657,"CA-5",'Self-Assessment_Cases'!$I4:$I657,"In Progress - Configuration")</f>
        <v>0</v>
      </c>
      <c r="G32" s="65">
        <f t="shared" si="2"/>
        <v>0</v>
      </c>
      <c r="H32" s="48">
        <f>COUNTIFS('Self-Assessment_Cases'!$E$4:$E$657,"CA-5",'Self-Assessment_Cases'!$I4:$I657,"In Progress - Installation/Upgrade")</f>
        <v>0</v>
      </c>
      <c r="I32" s="66">
        <f t="shared" si="3"/>
        <v>0</v>
      </c>
      <c r="J32" s="49">
        <f>COUNTIFS('Self-Assessment_Cases'!$E$4:$E$657,"CA-5",'Self-Assessment_Cases'!$I4:$I657,"Not Implemented - Compensating Control")</f>
        <v>0</v>
      </c>
      <c r="K32" s="67">
        <f t="shared" si="4"/>
        <v>0</v>
      </c>
      <c r="L32" s="50">
        <f>COUNTIFS('Self-Assessment_Cases'!$E$4:$E$657,"CA-5",'Self-Assessment_Cases'!$I4:$I657,"Not Implemented - Risk Negligible")</f>
        <v>0</v>
      </c>
      <c r="M32" s="56">
        <f t="shared" si="5"/>
        <v>0</v>
      </c>
      <c r="N32" s="57">
        <f>COUNTIFS('Self-Assessment_Cases'!$E$4:$E$657,"CA-5",'Self-Assessment_Cases'!$I4:$I657,"Not Implemented - Risk Accepted")</f>
        <v>0</v>
      </c>
      <c r="O32" s="57">
        <f t="shared" si="6"/>
        <v>0</v>
      </c>
      <c r="P32" s="58">
        <f>COUNTIFS('Self-Assessment_Cases'!$E$4:$E$657,"CA-5",'Self-Assessment_Cases'!$I4:$I657,"Not Implemented - Planned")</f>
        <v>0</v>
      </c>
      <c r="Q32" s="58">
        <f t="shared" si="7"/>
        <v>0</v>
      </c>
      <c r="R32" s="59">
        <f>COUNTIFS('Self-Assessment_Cases'!$E$4:$E$657,"CA-5",'Self-Assessment_Cases'!$I4:$I657,"Not Implemented - Unplanned")</f>
        <v>0</v>
      </c>
      <c r="S32" s="59">
        <f t="shared" si="8"/>
        <v>0</v>
      </c>
      <c r="T32" s="60">
        <f>COUNTIFS('Self-Assessment_Cases'!$E$4:$E$657,"CA-5",'Self-Assessment_Cases'!$I4:$I657,"Not Applicable")</f>
        <v>0</v>
      </c>
      <c r="U32" s="61"/>
      <c r="V32" s="68" t="e">
        <f t="shared" si="9"/>
        <v>#REF!</v>
      </c>
      <c r="W32" s="44" t="e">
        <f t="shared" si="10"/>
        <v>#REF!</v>
      </c>
    </row>
    <row r="33" spans="1:23" ht="15" customHeight="1" x14ac:dyDescent="0.2">
      <c r="A33" s="45" t="s">
        <v>1477</v>
      </c>
      <c r="B33" s="46" t="e">
        <f>COUNTIF('Self-Assessment_Cases'!#REF!,"*"&amp;A33&amp;"*")</f>
        <v>#REF!</v>
      </c>
      <c r="C33" s="63" t="e">
        <f t="shared" si="0"/>
        <v>#REF!</v>
      </c>
      <c r="D33" s="47">
        <f>COUNTIFS('Self-Assessment_Cases'!$E$4:$E$657,"CA-7",'Self-Assessment_Cases'!$I4:$I657,"In Progress - Administrative")</f>
        <v>0</v>
      </c>
      <c r="E33" s="64">
        <f t="shared" si="1"/>
        <v>0</v>
      </c>
      <c r="F33" s="62">
        <f>COUNTIFS('Self-Assessment_Cases'!$E$4:$E$657,"CA-7",'Self-Assessment_Cases'!$I4:$I657,"In Progress - Configuration")</f>
        <v>0</v>
      </c>
      <c r="G33" s="65">
        <f t="shared" si="2"/>
        <v>0</v>
      </c>
      <c r="H33" s="48">
        <f>COUNTIFS('Self-Assessment_Cases'!$E$4:$E$657,"CA-7",'Self-Assessment_Cases'!$I4:$I657,"In Progress - Installation/Upgrade")</f>
        <v>0</v>
      </c>
      <c r="I33" s="66">
        <f t="shared" si="3"/>
        <v>0</v>
      </c>
      <c r="J33" s="49">
        <f>COUNTIFS('Self-Assessment_Cases'!$E$4:$E$657,"CA-7",'Self-Assessment_Cases'!$I4:$I657,"Not Implemented - Compensating Control")</f>
        <v>0</v>
      </c>
      <c r="K33" s="67">
        <f t="shared" si="4"/>
        <v>0</v>
      </c>
      <c r="L33" s="50">
        <f>COUNTIFS('Self-Assessment_Cases'!$E$4:$E$657,"CA-7",'Self-Assessment_Cases'!$I4:$I657,"Not Implemented - Risk Negligible")</f>
        <v>0</v>
      </c>
      <c r="M33" s="56">
        <f t="shared" si="5"/>
        <v>0</v>
      </c>
      <c r="N33" s="57">
        <f>COUNTIFS('Self-Assessment_Cases'!$E$4:$E$657,"CA-7",'Self-Assessment_Cases'!$I4:$I657,"Not Implemented - Risk Accepted")</f>
        <v>0</v>
      </c>
      <c r="O33" s="57">
        <f t="shared" si="6"/>
        <v>0</v>
      </c>
      <c r="P33" s="58">
        <f>COUNTIFS('Self-Assessment_Cases'!$E$4:$E$657,"CA-7",'Self-Assessment_Cases'!$I4:$I657,"Not Implemented - Planned")</f>
        <v>0</v>
      </c>
      <c r="Q33" s="58">
        <f t="shared" si="7"/>
        <v>0</v>
      </c>
      <c r="R33" s="59">
        <f>COUNTIFS('Self-Assessment_Cases'!$E$4:$E$657,"CA-7",'Self-Assessment_Cases'!$I4:$I657,"Not Implemented - Unplanned")</f>
        <v>0</v>
      </c>
      <c r="S33" s="59">
        <f t="shared" si="8"/>
        <v>0</v>
      </c>
      <c r="T33" s="60">
        <f>COUNTIFS('Self-Assessment_Cases'!$E$4:$E$657,"CA-7",'Self-Assessment_Cases'!$I4:$I657,"Not Applicable")</f>
        <v>0</v>
      </c>
      <c r="U33" s="61"/>
      <c r="V33" s="68" t="e">
        <f t="shared" si="9"/>
        <v>#REF!</v>
      </c>
      <c r="W33" s="44" t="e">
        <f t="shared" si="10"/>
        <v>#REF!</v>
      </c>
    </row>
    <row r="34" spans="1:23" x14ac:dyDescent="0.2">
      <c r="A34" s="45" t="s">
        <v>1478</v>
      </c>
      <c r="B34" s="46" t="e">
        <f>COUNTIF('Self-Assessment_Cases'!#REF!,"*"&amp;A34&amp;"*")</f>
        <v>#REF!</v>
      </c>
      <c r="C34" s="63" t="e">
        <f t="shared" si="0"/>
        <v>#REF!</v>
      </c>
      <c r="D34" s="47">
        <f>COUNTIFS('Self-Assessment_Cases'!$E$4:$E$657,"CA-8",'Self-Assessment_Cases'!$I4:$I657,"In Progress - Administrative")</f>
        <v>0</v>
      </c>
      <c r="E34" s="64">
        <f t="shared" si="1"/>
        <v>0</v>
      </c>
      <c r="F34" s="62">
        <f>COUNTIFS('Self-Assessment_Cases'!$E$4:$E$657,"CA-8",'Self-Assessment_Cases'!$I4:$I657,"In Progress - Configuration")</f>
        <v>0</v>
      </c>
      <c r="G34" s="65">
        <f t="shared" si="2"/>
        <v>0</v>
      </c>
      <c r="H34" s="48">
        <f>COUNTIFS('Self-Assessment_Cases'!$E$4:$E$657,"CA-8",'Self-Assessment_Cases'!$I4:$I657,"In Progress - Installation/Upgrade")</f>
        <v>0</v>
      </c>
      <c r="I34" s="66">
        <f t="shared" si="3"/>
        <v>0</v>
      </c>
      <c r="J34" s="49">
        <f>COUNTIFS('Self-Assessment_Cases'!$E$4:$E$657,"CA-8",'Self-Assessment_Cases'!$I4:$I657,"Not Implemented - Compensating Control")</f>
        <v>0</v>
      </c>
      <c r="K34" s="67">
        <f t="shared" si="4"/>
        <v>0</v>
      </c>
      <c r="L34" s="50">
        <f>COUNTIFS('Self-Assessment_Cases'!$E$4:$E$657,"CA-8",'Self-Assessment_Cases'!$I4:$I657,"Not Implemented - Risk Negligible")</f>
        <v>0</v>
      </c>
      <c r="M34" s="56">
        <f t="shared" si="5"/>
        <v>0</v>
      </c>
      <c r="N34" s="57">
        <f>COUNTIFS('Self-Assessment_Cases'!$E$4:$E$657,"CA-8",'Self-Assessment_Cases'!$I4:$I657,"Not Implemented - Risk Accepted")</f>
        <v>0</v>
      </c>
      <c r="O34" s="57">
        <f t="shared" si="6"/>
        <v>0</v>
      </c>
      <c r="P34" s="58">
        <f>COUNTIFS('Self-Assessment_Cases'!$E$4:$E$657,"CA-8",'Self-Assessment_Cases'!$I4:$I657,"Not Implemented - Planned")</f>
        <v>0</v>
      </c>
      <c r="Q34" s="58">
        <f t="shared" si="7"/>
        <v>0</v>
      </c>
      <c r="R34" s="59">
        <f>COUNTIFS('Self-Assessment_Cases'!$E$4:$E$657,"CA-8",'Self-Assessment_Cases'!$I4:$I657,"Not Implemented - Unplanned")</f>
        <v>0</v>
      </c>
      <c r="S34" s="59">
        <f t="shared" si="8"/>
        <v>0</v>
      </c>
      <c r="T34" s="60">
        <f>COUNTIFS('Self-Assessment_Cases'!$E$4:$E$657,"CA-8",'Self-Assessment_Cases'!$I4:$I657,"Not Applicable")</f>
        <v>0</v>
      </c>
      <c r="U34" s="61"/>
      <c r="V34" s="68" t="e">
        <f t="shared" si="9"/>
        <v>#REF!</v>
      </c>
      <c r="W34" s="44" t="e">
        <f t="shared" si="10"/>
        <v>#REF!</v>
      </c>
    </row>
    <row r="35" spans="1:23" x14ac:dyDescent="0.2">
      <c r="A35" s="45" t="s">
        <v>1479</v>
      </c>
      <c r="B35" s="46" t="e">
        <f>COUNTIF('Self-Assessment_Cases'!#REF!,"*"&amp;A35&amp;"*")</f>
        <v>#REF!</v>
      </c>
      <c r="C35" s="63" t="e">
        <f t="shared" si="0"/>
        <v>#REF!</v>
      </c>
      <c r="D35" s="47">
        <f>COUNTIFS('Self-Assessment_Cases'!$E$4:$E$657,"CA-9",'Self-Assessment_Cases'!$I4:$I657,"In Progress - Administrative")</f>
        <v>0</v>
      </c>
      <c r="E35" s="64">
        <f t="shared" si="1"/>
        <v>0</v>
      </c>
      <c r="F35" s="62">
        <f>COUNTIFS('Self-Assessment_Cases'!$E$4:$E$657,"CA-9",'Self-Assessment_Cases'!$I4:$I657,"In Progress - Configuration")</f>
        <v>0</v>
      </c>
      <c r="G35" s="65">
        <f t="shared" si="2"/>
        <v>0</v>
      </c>
      <c r="H35" s="48">
        <f>COUNTIFS('Self-Assessment_Cases'!$E$4:$E$657,"CA-9",'Self-Assessment_Cases'!$I4:$I657,"In Progress - Installation/Upgrade")</f>
        <v>0</v>
      </c>
      <c r="I35" s="66">
        <f t="shared" si="3"/>
        <v>0</v>
      </c>
      <c r="J35" s="49">
        <f>COUNTIFS('Self-Assessment_Cases'!$E$4:$E$657,"CA-9",'Self-Assessment_Cases'!$I4:$I657,"Not Implemented - Compensating Control")</f>
        <v>0</v>
      </c>
      <c r="K35" s="67">
        <f t="shared" si="4"/>
        <v>0</v>
      </c>
      <c r="L35" s="50">
        <f>COUNTIFS('Self-Assessment_Cases'!$E$4:$E$657,"CA-9",'Self-Assessment_Cases'!$I4:$I657,"Not Implemented - Risk Negligible")</f>
        <v>0</v>
      </c>
      <c r="M35" s="56">
        <f t="shared" si="5"/>
        <v>0</v>
      </c>
      <c r="N35" s="57">
        <f>COUNTIFS('Self-Assessment_Cases'!$E$4:$E$657,"CA-9",'Self-Assessment_Cases'!$I4:$I657,"Not Implemented - Risk Accepted")</f>
        <v>0</v>
      </c>
      <c r="O35" s="57">
        <f t="shared" si="6"/>
        <v>0</v>
      </c>
      <c r="P35" s="58">
        <f>COUNTIFS('Self-Assessment_Cases'!$E$4:$E$657,"CA-9",'Self-Assessment_Cases'!$I4:$I657,"Not Implemented - Planned")</f>
        <v>0</v>
      </c>
      <c r="Q35" s="58">
        <f t="shared" si="7"/>
        <v>0</v>
      </c>
      <c r="R35" s="59">
        <f>COUNTIFS('Self-Assessment_Cases'!$E$4:$E$657,"CA-9",'Self-Assessment_Cases'!$I4:$I657,"Not Implemented - Unplanned")</f>
        <v>0</v>
      </c>
      <c r="S35" s="59">
        <f t="shared" si="8"/>
        <v>0</v>
      </c>
      <c r="T35" s="60">
        <f>COUNTIFS('Self-Assessment_Cases'!$E$4:$E$657,"CA-9",'Self-Assessment_Cases'!$I4:$I657,"Not Applicable")</f>
        <v>0</v>
      </c>
      <c r="U35" s="61"/>
      <c r="V35" s="68" t="e">
        <f t="shared" si="9"/>
        <v>#REF!</v>
      </c>
      <c r="W35" s="44" t="e">
        <f t="shared" si="10"/>
        <v>#REF!</v>
      </c>
    </row>
    <row r="36" spans="1:23" ht="15" customHeight="1" x14ac:dyDescent="0.2">
      <c r="A36" s="45" t="s">
        <v>1480</v>
      </c>
      <c r="B36" s="46" t="e">
        <f>COUNTIF('Self-Assessment_Cases'!#REF!,"*"&amp;A36&amp;"*")</f>
        <v>#REF!</v>
      </c>
      <c r="C36" s="63" t="e">
        <f t="shared" si="0"/>
        <v>#REF!</v>
      </c>
      <c r="D36" s="47">
        <f>COUNTIFS('Self-Assessment_Cases'!$E$4:$E$657,"CM-1",'Self-Assessment_Cases'!$I4:$I657,"In Progress - Administrative")</f>
        <v>0</v>
      </c>
      <c r="E36" s="64">
        <f t="shared" si="1"/>
        <v>0</v>
      </c>
      <c r="F36" s="62">
        <f>COUNTIFS('Self-Assessment_Cases'!$E$4:$E$657,"CM-1",'Self-Assessment_Cases'!$I4:$I657,"In Progress - Configuration")</f>
        <v>0</v>
      </c>
      <c r="G36" s="65">
        <f t="shared" si="2"/>
        <v>0</v>
      </c>
      <c r="H36" s="48">
        <f>COUNTIFS('Self-Assessment_Cases'!$E$4:$E$657,"CM-1",'Self-Assessment_Cases'!$I4:$I657,"In Progress - Installation/Upgrade")</f>
        <v>0</v>
      </c>
      <c r="I36" s="66">
        <f t="shared" si="3"/>
        <v>0</v>
      </c>
      <c r="J36" s="49">
        <f>COUNTIFS('Self-Assessment_Cases'!$E$4:$E$657,"CM-1",'Self-Assessment_Cases'!$I4:$I657,"Not Implemented - Compensating Control")</f>
        <v>0</v>
      </c>
      <c r="K36" s="67">
        <f t="shared" si="4"/>
        <v>0</v>
      </c>
      <c r="L36" s="50">
        <f>COUNTIFS('Self-Assessment_Cases'!$E$4:$E$657,"CM-1",'Self-Assessment_Cases'!$I4:$I657,"Not Implemented - Risk Negligible")</f>
        <v>0</v>
      </c>
      <c r="M36" s="56">
        <f t="shared" si="5"/>
        <v>0</v>
      </c>
      <c r="N36" s="57">
        <f>COUNTIFS('Self-Assessment_Cases'!$E$4:$E$657,"CM-1",'Self-Assessment_Cases'!$I4:$I657,"Not Implemented - Risk Accepted")</f>
        <v>0</v>
      </c>
      <c r="O36" s="57">
        <f t="shared" si="6"/>
        <v>0</v>
      </c>
      <c r="P36" s="58">
        <f>COUNTIFS('Self-Assessment_Cases'!$E$4:$E$657,"CM-1",'Self-Assessment_Cases'!$I4:$I657,"Not Implemented - Planned")</f>
        <v>0</v>
      </c>
      <c r="Q36" s="58">
        <f t="shared" si="7"/>
        <v>0</v>
      </c>
      <c r="R36" s="59">
        <f>COUNTIFS('Self-Assessment_Cases'!$E$4:$E$657,"CM-1",'Self-Assessment_Cases'!$I4:$I657,"Not Implemented - Unplanned")</f>
        <v>0</v>
      </c>
      <c r="S36" s="59">
        <f t="shared" si="8"/>
        <v>0</v>
      </c>
      <c r="T36" s="60">
        <f>COUNTIFS('Self-Assessment_Cases'!$E$4:$E$657,"CM-1",'Self-Assessment_Cases'!$I4:$I657,"Not Applicable")</f>
        <v>0</v>
      </c>
      <c r="U36" s="61"/>
      <c r="V36" s="68" t="e">
        <f t="shared" si="9"/>
        <v>#REF!</v>
      </c>
      <c r="W36" s="44" t="e">
        <f t="shared" si="10"/>
        <v>#REF!</v>
      </c>
    </row>
    <row r="37" spans="1:23" ht="15" customHeight="1" x14ac:dyDescent="0.2">
      <c r="A37" s="45" t="s">
        <v>1481</v>
      </c>
      <c r="B37" s="46" t="e">
        <f>COUNTIF('Self-Assessment_Cases'!#REF!,"*"&amp;A37&amp;"*")</f>
        <v>#REF!</v>
      </c>
      <c r="C37" s="63" t="e">
        <f t="shared" si="0"/>
        <v>#REF!</v>
      </c>
      <c r="D37" s="47">
        <f>COUNTIFS('Self-Assessment_Cases'!$E$4:$E$657,"CM-10",'Self-Assessment_Cases'!$I4:$I657,"In Progress - Administrative")</f>
        <v>0</v>
      </c>
      <c r="E37" s="64">
        <f t="shared" si="1"/>
        <v>0</v>
      </c>
      <c r="F37" s="62">
        <f>COUNTIFS('Self-Assessment_Cases'!$E$4:$E$657,"CM-10",'Self-Assessment_Cases'!$I4:$I657,"In Progress - Configuration")</f>
        <v>0</v>
      </c>
      <c r="G37" s="65">
        <f t="shared" si="2"/>
        <v>0</v>
      </c>
      <c r="H37" s="48">
        <f>COUNTIFS('Self-Assessment_Cases'!$E$4:$E$657,"CM-10",'Self-Assessment_Cases'!$I4:$I657,"In Progress - Installation/Upgrade")</f>
        <v>0</v>
      </c>
      <c r="I37" s="66">
        <f t="shared" si="3"/>
        <v>0</v>
      </c>
      <c r="J37" s="49">
        <f>COUNTIFS('Self-Assessment_Cases'!$E$4:$E$657,"CM-10",'Self-Assessment_Cases'!$I4:$I657,"Not Implemented - Compensating Control")</f>
        <v>0</v>
      </c>
      <c r="K37" s="67">
        <f t="shared" si="4"/>
        <v>0</v>
      </c>
      <c r="L37" s="50">
        <f>COUNTIFS('Self-Assessment_Cases'!$E$4:$E$657,"CM-10",'Self-Assessment_Cases'!$I4:$I657,"Not Implemented - Risk Negligible")</f>
        <v>0</v>
      </c>
      <c r="M37" s="56">
        <f t="shared" si="5"/>
        <v>0</v>
      </c>
      <c r="N37" s="57">
        <f>COUNTIFS('Self-Assessment_Cases'!$E$4:$E$657,"CM-10",'Self-Assessment_Cases'!$I4:$I657,"Not Implemented - Risk Accepted")</f>
        <v>0</v>
      </c>
      <c r="O37" s="57">
        <f t="shared" si="6"/>
        <v>0</v>
      </c>
      <c r="P37" s="58">
        <f>COUNTIFS('Self-Assessment_Cases'!$E$4:$E$657,"CM-10",'Self-Assessment_Cases'!$I4:$I657,"Not Implemented - Planned")</f>
        <v>0</v>
      </c>
      <c r="Q37" s="58">
        <f t="shared" si="7"/>
        <v>0</v>
      </c>
      <c r="R37" s="59">
        <f>COUNTIFS('Self-Assessment_Cases'!$E$4:$E$657,"CM-10",'Self-Assessment_Cases'!$I4:$I657,"Not Implemented - Unplanned")</f>
        <v>0</v>
      </c>
      <c r="S37" s="59">
        <f t="shared" si="8"/>
        <v>0</v>
      </c>
      <c r="T37" s="60">
        <f>COUNTIFS('Self-Assessment_Cases'!$E$4:$E$657,"CM-10",'Self-Assessment_Cases'!$I4:$I657,"Not Applicable")</f>
        <v>0</v>
      </c>
      <c r="U37" s="61"/>
      <c r="V37" s="68" t="e">
        <f t="shared" si="9"/>
        <v>#REF!</v>
      </c>
      <c r="W37" s="44" t="e">
        <f t="shared" si="10"/>
        <v>#REF!</v>
      </c>
    </row>
    <row r="38" spans="1:23" ht="15" customHeight="1" x14ac:dyDescent="0.2">
      <c r="A38" s="45" t="s">
        <v>1439</v>
      </c>
      <c r="B38" s="46" t="e">
        <f>COUNTIF('Self-Assessment_Cases'!#REF!,"*"&amp;A38&amp;"*")</f>
        <v>#REF!</v>
      </c>
      <c r="C38" s="63" t="e">
        <f t="shared" si="0"/>
        <v>#REF!</v>
      </c>
      <c r="D38" s="47">
        <f>COUNTIFS('Self-Assessment_Cases'!$E$4:$E$657,"CM-11",'Self-Assessment_Cases'!$I4:$I657,"In Progress - Administrative")</f>
        <v>0</v>
      </c>
      <c r="E38" s="64">
        <f t="shared" si="1"/>
        <v>0</v>
      </c>
      <c r="F38" s="62">
        <f>COUNTIFS('Self-Assessment_Cases'!$E$4:$E$657,"CM-11",'Self-Assessment_Cases'!$I4:$I657,"In Progress - Configuration")</f>
        <v>0</v>
      </c>
      <c r="G38" s="65">
        <f t="shared" si="2"/>
        <v>0</v>
      </c>
      <c r="H38" s="48">
        <f>COUNTIFS('Self-Assessment_Cases'!$E$4:$E$657,"CM-11",'Self-Assessment_Cases'!$I4:$I657,"In Progress - Installation/Upgrade")</f>
        <v>0</v>
      </c>
      <c r="I38" s="66">
        <f t="shared" si="3"/>
        <v>0</v>
      </c>
      <c r="J38" s="49">
        <f>COUNTIFS('Self-Assessment_Cases'!$E$4:$E$657,"CM-11",'Self-Assessment_Cases'!$I4:$I657,"Not Implemented - Compensating Control")</f>
        <v>0</v>
      </c>
      <c r="K38" s="67">
        <f t="shared" si="4"/>
        <v>0</v>
      </c>
      <c r="L38" s="50">
        <f>COUNTIFS('Self-Assessment_Cases'!$E$4:$E$657,"CM-11",'Self-Assessment_Cases'!$I4:$I657,"Not Implemented - Risk Negligible")</f>
        <v>0</v>
      </c>
      <c r="M38" s="56">
        <f t="shared" si="5"/>
        <v>0</v>
      </c>
      <c r="N38" s="57">
        <f>COUNTIFS('Self-Assessment_Cases'!$E$4:$E$657,"CM-11",'Self-Assessment_Cases'!$I4:$I657,"Not Implemented - Risk Accepted")</f>
        <v>0</v>
      </c>
      <c r="O38" s="57">
        <f t="shared" si="6"/>
        <v>0</v>
      </c>
      <c r="P38" s="58">
        <f>COUNTIFS('Self-Assessment_Cases'!$E$4:$E$657,"CM-11",'Self-Assessment_Cases'!$I4:$I657,"Not Implemented - Planned")</f>
        <v>0</v>
      </c>
      <c r="Q38" s="58">
        <f t="shared" si="7"/>
        <v>0</v>
      </c>
      <c r="R38" s="59">
        <f>COUNTIFS('Self-Assessment_Cases'!$E$4:$E$657,"CM-11",'Self-Assessment_Cases'!$I4:$I657,"Not Implemented - Unplanned")</f>
        <v>0</v>
      </c>
      <c r="S38" s="59">
        <f t="shared" si="8"/>
        <v>0</v>
      </c>
      <c r="T38" s="60">
        <f>COUNTIFS('Self-Assessment_Cases'!$E$4:$E$657,"CM-11",'Self-Assessment_Cases'!$I4:$I657,"Not Applicable")</f>
        <v>0</v>
      </c>
      <c r="U38" s="61"/>
      <c r="V38" s="68" t="e">
        <f t="shared" si="9"/>
        <v>#REF!</v>
      </c>
      <c r="W38" s="44" t="e">
        <f t="shared" si="10"/>
        <v>#REF!</v>
      </c>
    </row>
    <row r="39" spans="1:23" ht="15" customHeight="1" x14ac:dyDescent="0.2">
      <c r="A39" s="45" t="s">
        <v>1482</v>
      </c>
      <c r="B39" s="46" t="e">
        <f>COUNTIF('Self-Assessment_Cases'!#REF!,"*"&amp;A39&amp;"*")</f>
        <v>#REF!</v>
      </c>
      <c r="C39" s="63" t="e">
        <f t="shared" si="0"/>
        <v>#REF!</v>
      </c>
      <c r="D39" s="47">
        <f>COUNTIFS('Self-Assessment_Cases'!$E$4:$E$657,"CM-2",'Self-Assessment_Cases'!$I4:$I657,"In Progress - Administrative")</f>
        <v>0</v>
      </c>
      <c r="E39" s="64">
        <f t="shared" si="1"/>
        <v>0</v>
      </c>
      <c r="F39" s="62">
        <f>COUNTIFS('Self-Assessment_Cases'!$E$4:$E$657,"CM-2",'Self-Assessment_Cases'!$I4:$I657,"In Progress - Configuration")</f>
        <v>0</v>
      </c>
      <c r="G39" s="65">
        <f t="shared" si="2"/>
        <v>0</v>
      </c>
      <c r="H39" s="48">
        <f>COUNTIFS('Self-Assessment_Cases'!$E$4:$E$657,"CM-2",'Self-Assessment_Cases'!$I4:$I657,"In Progress - Installation/Upgrade")</f>
        <v>0</v>
      </c>
      <c r="I39" s="66">
        <f t="shared" si="3"/>
        <v>0</v>
      </c>
      <c r="J39" s="49">
        <f>COUNTIFS('Self-Assessment_Cases'!$E$4:$E$657,"CM-2",'Self-Assessment_Cases'!$I4:$I657,"Not Implemented - Compensating Control")</f>
        <v>0</v>
      </c>
      <c r="K39" s="67">
        <f t="shared" si="4"/>
        <v>0</v>
      </c>
      <c r="L39" s="50">
        <f>COUNTIFS('Self-Assessment_Cases'!$E$4:$E$657,"CM-2",'Self-Assessment_Cases'!$I4:$I657,"Not Implemented - Risk Negligible")</f>
        <v>0</v>
      </c>
      <c r="M39" s="56">
        <f t="shared" si="5"/>
        <v>0</v>
      </c>
      <c r="N39" s="57">
        <f>COUNTIFS('Self-Assessment_Cases'!$E$4:$E$657,"CM-2",'Self-Assessment_Cases'!$I4:$I657,"Not Implemented - Risk Accepted")</f>
        <v>0</v>
      </c>
      <c r="O39" s="57">
        <f t="shared" si="6"/>
        <v>0</v>
      </c>
      <c r="P39" s="58">
        <f>COUNTIFS('Self-Assessment_Cases'!$E$4:$E$657,"CM-2",'Self-Assessment_Cases'!$I4:$I657,"Not Implemented - Planned")</f>
        <v>0</v>
      </c>
      <c r="Q39" s="58">
        <f t="shared" si="7"/>
        <v>0</v>
      </c>
      <c r="R39" s="59">
        <f>COUNTIFS('Self-Assessment_Cases'!$E$4:$E$657,"CM-2",'Self-Assessment_Cases'!$I4:$I657,"Not Implemented - Unplanned")</f>
        <v>0</v>
      </c>
      <c r="S39" s="59">
        <f t="shared" si="8"/>
        <v>0</v>
      </c>
      <c r="T39" s="60">
        <f>COUNTIFS('Self-Assessment_Cases'!$E$4:$E$657,"CM-2",'Self-Assessment_Cases'!$I4:$I657,"Not Applicable")</f>
        <v>0</v>
      </c>
      <c r="U39" s="61"/>
      <c r="V39" s="68" t="e">
        <f t="shared" si="9"/>
        <v>#REF!</v>
      </c>
      <c r="W39" s="44" t="e">
        <f t="shared" si="10"/>
        <v>#REF!</v>
      </c>
    </row>
    <row r="40" spans="1:23" ht="15" customHeight="1" x14ac:dyDescent="0.2">
      <c r="A40" s="45" t="s">
        <v>1440</v>
      </c>
      <c r="B40" s="46" t="e">
        <f>COUNTIF('Self-Assessment_Cases'!#REF!,"*"&amp;A40&amp;"*")</f>
        <v>#REF!</v>
      </c>
      <c r="C40" s="63" t="e">
        <f t="shared" si="0"/>
        <v>#REF!</v>
      </c>
      <c r="D40" s="47">
        <f>COUNTIFS('Self-Assessment_Cases'!$E$4:$E$657,"CM-3",'Self-Assessment_Cases'!$I4:$I657,"In Progress - Administrative")</f>
        <v>0</v>
      </c>
      <c r="E40" s="64">
        <f t="shared" si="1"/>
        <v>0</v>
      </c>
      <c r="F40" s="62">
        <f>COUNTIFS('Self-Assessment_Cases'!$E$4:$E$657,"CM-3",'Self-Assessment_Cases'!$I4:$I657,"In Progress - Configuration")</f>
        <v>0</v>
      </c>
      <c r="G40" s="65">
        <f t="shared" si="2"/>
        <v>0</v>
      </c>
      <c r="H40" s="48">
        <f>COUNTIFS('Self-Assessment_Cases'!$E$4:$E$657,"CM-3",'Self-Assessment_Cases'!$I4:$I657,"In Progress - Installation/Upgrade")</f>
        <v>0</v>
      </c>
      <c r="I40" s="66">
        <f t="shared" si="3"/>
        <v>0</v>
      </c>
      <c r="J40" s="49">
        <f>COUNTIFS('Self-Assessment_Cases'!$E$4:$E$657,"CM-3",'Self-Assessment_Cases'!$I4:$I657,"Not Implemented - Compensating Control")</f>
        <v>0</v>
      </c>
      <c r="K40" s="67">
        <f t="shared" si="4"/>
        <v>0</v>
      </c>
      <c r="L40" s="50">
        <f>COUNTIFS('Self-Assessment_Cases'!$E$4:$E$657,"CM-3",'Self-Assessment_Cases'!$I4:$I657,"Not Implemented - Risk Negligible")</f>
        <v>0</v>
      </c>
      <c r="M40" s="56">
        <f t="shared" si="5"/>
        <v>0</v>
      </c>
      <c r="N40" s="57">
        <f>COUNTIFS('Self-Assessment_Cases'!$E$4:$E$657,"CM-3",'Self-Assessment_Cases'!$I4:$I657,"Not Implemented - Risk Accepted")</f>
        <v>0</v>
      </c>
      <c r="O40" s="57">
        <f t="shared" si="6"/>
        <v>0</v>
      </c>
      <c r="P40" s="58">
        <f>COUNTIFS('Self-Assessment_Cases'!$E$4:$E$657,"CM-3",'Self-Assessment_Cases'!$I4:$I657,"Not Implemented - Planned")</f>
        <v>0</v>
      </c>
      <c r="Q40" s="58">
        <f t="shared" si="7"/>
        <v>0</v>
      </c>
      <c r="R40" s="59">
        <f>COUNTIFS('Self-Assessment_Cases'!$E$4:$E$657,"CM-3",'Self-Assessment_Cases'!$I4:$I657,"Not Implemented - Unplanned")</f>
        <v>0</v>
      </c>
      <c r="S40" s="59">
        <f t="shared" si="8"/>
        <v>0</v>
      </c>
      <c r="T40" s="60">
        <f>COUNTIFS('Self-Assessment_Cases'!$E$4:$E$657,"CM-3",'Self-Assessment_Cases'!$I4:$I657,"Not Applicable")</f>
        <v>0</v>
      </c>
      <c r="U40" s="61"/>
      <c r="V40" s="68" t="e">
        <f t="shared" si="9"/>
        <v>#REF!</v>
      </c>
      <c r="W40" s="44" t="e">
        <f t="shared" si="10"/>
        <v>#REF!</v>
      </c>
    </row>
    <row r="41" spans="1:23" ht="15" customHeight="1" x14ac:dyDescent="0.2">
      <c r="A41" s="45" t="s">
        <v>1438</v>
      </c>
      <c r="B41" s="46" t="e">
        <f>COUNTIF('Self-Assessment_Cases'!#REF!,"*"&amp;A41&amp;"*")</f>
        <v>#REF!</v>
      </c>
      <c r="C41" s="63" t="e">
        <f t="shared" si="0"/>
        <v>#REF!</v>
      </c>
      <c r="D41" s="47">
        <f>COUNTIFS('Self-Assessment_Cases'!$E$4:$E$657,"CM-4",'Self-Assessment_Cases'!$I4:$I657,"In Progress - Administrative")</f>
        <v>0</v>
      </c>
      <c r="E41" s="64">
        <f t="shared" si="1"/>
        <v>0</v>
      </c>
      <c r="F41" s="62">
        <f>COUNTIFS('Self-Assessment_Cases'!$E$4:$E$657,"CM-4",'Self-Assessment_Cases'!$I4:$I657,"In Progress - Configuration")</f>
        <v>0</v>
      </c>
      <c r="G41" s="65">
        <f t="shared" si="2"/>
        <v>0</v>
      </c>
      <c r="H41" s="48">
        <f>COUNTIFS('Self-Assessment_Cases'!$E$4:$E$657,"CM-4",'Self-Assessment_Cases'!$I4:$I657,"In Progress - Installation/Upgrade")</f>
        <v>0</v>
      </c>
      <c r="I41" s="66">
        <f t="shared" si="3"/>
        <v>0</v>
      </c>
      <c r="J41" s="49">
        <f>COUNTIFS('Self-Assessment_Cases'!$E$4:$E$657,"CM-4",'Self-Assessment_Cases'!$I4:$I657,"Not Implemented - Compensating Control")</f>
        <v>0</v>
      </c>
      <c r="K41" s="67">
        <f t="shared" si="4"/>
        <v>0</v>
      </c>
      <c r="L41" s="50">
        <f>COUNTIFS('Self-Assessment_Cases'!$E$4:$E$657,"CM-4",'Self-Assessment_Cases'!$I4:$I657,"Not Implemented - Risk Negligible")</f>
        <v>0</v>
      </c>
      <c r="M41" s="56">
        <f t="shared" si="5"/>
        <v>0</v>
      </c>
      <c r="N41" s="57">
        <f>COUNTIFS('Self-Assessment_Cases'!$E$4:$E$657,"CM-4",'Self-Assessment_Cases'!$I4:$I657,"Not Implemented - Risk Accepted")</f>
        <v>0</v>
      </c>
      <c r="O41" s="57">
        <f t="shared" si="6"/>
        <v>0</v>
      </c>
      <c r="P41" s="58">
        <f>COUNTIFS('Self-Assessment_Cases'!$E$4:$E$657,"CM-4",'Self-Assessment_Cases'!$I4:$I657,"Not Implemented - Planned")</f>
        <v>0</v>
      </c>
      <c r="Q41" s="58">
        <f t="shared" si="7"/>
        <v>0</v>
      </c>
      <c r="R41" s="59">
        <f>COUNTIFS('Self-Assessment_Cases'!$E$4:$E$657,"CM-4",'Self-Assessment_Cases'!$I4:$I657,"Not Implemented - Unplanned")</f>
        <v>0</v>
      </c>
      <c r="S41" s="59">
        <f t="shared" si="8"/>
        <v>0</v>
      </c>
      <c r="T41" s="60">
        <f>COUNTIFS('Self-Assessment_Cases'!$E$4:$E$657,"CM-4",'Self-Assessment_Cases'!$I4:$I657,"Not Applicable")</f>
        <v>0</v>
      </c>
      <c r="U41" s="61"/>
      <c r="V41" s="68" t="e">
        <f t="shared" si="9"/>
        <v>#REF!</v>
      </c>
      <c r="W41" s="44" t="e">
        <f t="shared" si="10"/>
        <v>#REF!</v>
      </c>
    </row>
    <row r="42" spans="1:23" ht="15" customHeight="1" x14ac:dyDescent="0.2">
      <c r="A42" s="45" t="s">
        <v>1483</v>
      </c>
      <c r="B42" s="46" t="e">
        <f>COUNTIF('Self-Assessment_Cases'!#REF!,"*"&amp;A42&amp;"*")</f>
        <v>#REF!</v>
      </c>
      <c r="C42" s="63" t="e">
        <f t="shared" si="0"/>
        <v>#REF!</v>
      </c>
      <c r="D42" s="47">
        <f>COUNTIFS('Self-Assessment_Cases'!$E$4:$E$657,"CM-5",'Self-Assessment_Cases'!$I4:$I657,"In Progress - Administrative")</f>
        <v>0</v>
      </c>
      <c r="E42" s="64">
        <f t="shared" si="1"/>
        <v>0</v>
      </c>
      <c r="F42" s="62">
        <f>COUNTIFS('Self-Assessment_Cases'!$E$4:$E$657,"CM-5",'Self-Assessment_Cases'!$I4:$I657,"In Progress - Configuration")</f>
        <v>0</v>
      </c>
      <c r="G42" s="65">
        <f t="shared" si="2"/>
        <v>0</v>
      </c>
      <c r="H42" s="48">
        <f>COUNTIFS('Self-Assessment_Cases'!$E$4:$E$657,"CM-5",'Self-Assessment_Cases'!$I4:$I657,"In Progress - Installation/Upgrade")</f>
        <v>0</v>
      </c>
      <c r="I42" s="66">
        <f t="shared" si="3"/>
        <v>0</v>
      </c>
      <c r="J42" s="49">
        <f>COUNTIFS('Self-Assessment_Cases'!$E$4:$E$657,"CM-5",'Self-Assessment_Cases'!$I4:$I657,"Not Implemented - Compensating Control")</f>
        <v>0</v>
      </c>
      <c r="K42" s="67">
        <f t="shared" si="4"/>
        <v>0</v>
      </c>
      <c r="L42" s="50">
        <f>COUNTIFS('Self-Assessment_Cases'!$E$4:$E$657,"CM-5",'Self-Assessment_Cases'!$I4:$I657,"Not Implemented - Risk Negligible")</f>
        <v>0</v>
      </c>
      <c r="M42" s="56">
        <f t="shared" si="5"/>
        <v>0</v>
      </c>
      <c r="N42" s="57">
        <f>COUNTIFS('Self-Assessment_Cases'!$E$4:$E$657,"CM-5",'Self-Assessment_Cases'!$I4:$I657,"Not Implemented - Risk Accepted")</f>
        <v>0</v>
      </c>
      <c r="O42" s="57">
        <f t="shared" si="6"/>
        <v>0</v>
      </c>
      <c r="P42" s="58">
        <f>COUNTIFS('Self-Assessment_Cases'!$E$4:$E$657,"CM-5",'Self-Assessment_Cases'!$I4:$I657,"Not Implemented - Planned")</f>
        <v>0</v>
      </c>
      <c r="Q42" s="58">
        <f t="shared" si="7"/>
        <v>0</v>
      </c>
      <c r="R42" s="59">
        <f>COUNTIFS('Self-Assessment_Cases'!$E$4:$E$657,"CM-5",'Self-Assessment_Cases'!$I4:$I657,"Not Implemented - Unplanned")</f>
        <v>0</v>
      </c>
      <c r="S42" s="59">
        <f t="shared" si="8"/>
        <v>0</v>
      </c>
      <c r="T42" s="60">
        <f>COUNTIFS('Self-Assessment_Cases'!$E$4:$E$657,"CM-5",'Self-Assessment_Cases'!$I4:$I657,"Not Applicable")</f>
        <v>0</v>
      </c>
      <c r="U42" s="61"/>
      <c r="V42" s="68" t="e">
        <f t="shared" si="9"/>
        <v>#REF!</v>
      </c>
      <c r="W42" s="44" t="e">
        <f t="shared" si="10"/>
        <v>#REF!</v>
      </c>
    </row>
    <row r="43" spans="1:23" ht="15" customHeight="1" x14ac:dyDescent="0.2">
      <c r="A43" s="45" t="s">
        <v>1484</v>
      </c>
      <c r="B43" s="46" t="e">
        <f>COUNTIF('Self-Assessment_Cases'!#REF!,"*"&amp;A43&amp;"*")</f>
        <v>#REF!</v>
      </c>
      <c r="C43" s="63" t="e">
        <f t="shared" si="0"/>
        <v>#REF!</v>
      </c>
      <c r="D43" s="47">
        <f>COUNTIFS('Self-Assessment_Cases'!$E$4:$E$657,"CCI-000012",'Self-Assessment_Cases'!$I4:$I657,"In Progress - Administrative")</f>
        <v>0</v>
      </c>
      <c r="E43" s="64">
        <f t="shared" si="1"/>
        <v>0</v>
      </c>
      <c r="F43" s="62">
        <f>COUNTIFS('Self-Assessment_Cases'!$E$4:$E$657,"CCI-000012",'Self-Assessment_Cases'!$I4:$I657,"In Progress - Configuration")</f>
        <v>0</v>
      </c>
      <c r="G43" s="65">
        <f t="shared" si="2"/>
        <v>0</v>
      </c>
      <c r="H43" s="48">
        <f>COUNTIFS('Self-Assessment_Cases'!$E$4:$E$657,"CCI-000012",'Self-Assessment_Cases'!$I4:$I657,"In Progress - Installation/Upgrade")</f>
        <v>0</v>
      </c>
      <c r="I43" s="66">
        <f t="shared" si="3"/>
        <v>0</v>
      </c>
      <c r="J43" s="49">
        <f>COUNTIFS('Self-Assessment_Cases'!$E$4:$E$657,"CCI-000012",'Self-Assessment_Cases'!$I4:$I657,"Not Implemented - Compensating Control")</f>
        <v>0</v>
      </c>
      <c r="K43" s="67">
        <f t="shared" si="4"/>
        <v>0</v>
      </c>
      <c r="L43" s="50">
        <f>COUNTIFS('Self-Assessment_Cases'!$E$4:$E$657,"CCI-000012",'Self-Assessment_Cases'!$I4:$I657,"Not Implemented - Risk Negligible")</f>
        <v>0</v>
      </c>
      <c r="M43" s="56">
        <f t="shared" si="5"/>
        <v>0</v>
      </c>
      <c r="N43" s="57">
        <f>COUNTIFS('Self-Assessment_Cases'!$E$4:$E$657,"CCI-000012",'Self-Assessment_Cases'!$I4:$I657,"Not Implemented - Risk Accepted")</f>
        <v>0</v>
      </c>
      <c r="O43" s="57">
        <f t="shared" si="6"/>
        <v>0</v>
      </c>
      <c r="P43" s="58">
        <f>COUNTIFS('Self-Assessment_Cases'!$E$4:$E$657,"CCI-000012",'Self-Assessment_Cases'!$I4:$I657,"Not Implemented - Planned")</f>
        <v>0</v>
      </c>
      <c r="Q43" s="58">
        <f t="shared" si="7"/>
        <v>0</v>
      </c>
      <c r="R43" s="59">
        <f>COUNTIFS('Self-Assessment_Cases'!$E$4:$E$657,"CCI-000012",'Self-Assessment_Cases'!$I4:$I657,"Not Implemented - Unplanned")</f>
        <v>0</v>
      </c>
      <c r="S43" s="59">
        <f t="shared" si="8"/>
        <v>0</v>
      </c>
      <c r="T43" s="60">
        <f>COUNTIFS('Self-Assessment_Cases'!$E$4:$E$657,"CCI-000012",'Self-Assessment_Cases'!$I4:$I657,"Not Applicable")</f>
        <v>0</v>
      </c>
      <c r="U43" s="61"/>
      <c r="V43" s="68" t="e">
        <f t="shared" si="9"/>
        <v>#REF!</v>
      </c>
      <c r="W43" s="44" t="e">
        <f t="shared" si="10"/>
        <v>#REF!</v>
      </c>
    </row>
    <row r="44" spans="1:23" ht="15" customHeight="1" x14ac:dyDescent="0.2">
      <c r="A44" s="45" t="s">
        <v>1442</v>
      </c>
      <c r="B44" s="46" t="e">
        <f>COUNTIF('Self-Assessment_Cases'!#REF!,"*"&amp;A44&amp;"*")</f>
        <v>#REF!</v>
      </c>
      <c r="C44" s="63" t="e">
        <f t="shared" si="0"/>
        <v>#REF!</v>
      </c>
      <c r="D44" s="47">
        <f>COUNTIFS('Self-Assessment_Cases'!$E$4:$E$657,"CM-7",'Self-Assessment_Cases'!$I4:$I657,"In Progress - Administrative")</f>
        <v>0</v>
      </c>
      <c r="E44" s="64">
        <f t="shared" si="1"/>
        <v>0</v>
      </c>
      <c r="F44" s="62">
        <f>COUNTIFS('Self-Assessment_Cases'!$E$4:$E$657,"CM-7",'Self-Assessment_Cases'!$I4:$I657,"In Progress - Configuration")</f>
        <v>0</v>
      </c>
      <c r="G44" s="65">
        <f t="shared" si="2"/>
        <v>0</v>
      </c>
      <c r="H44" s="48">
        <f>COUNTIFS('Self-Assessment_Cases'!$E$4:$E$657,"CM-7",'Self-Assessment_Cases'!$I4:$I657,"In Progress - Installation/Upgrade")</f>
        <v>0</v>
      </c>
      <c r="I44" s="66">
        <f t="shared" si="3"/>
        <v>0</v>
      </c>
      <c r="J44" s="49">
        <f>COUNTIFS('Self-Assessment_Cases'!$E$4:$E$657,"CM-7",'Self-Assessment_Cases'!$I4:$I657,"Not Implemented - Compensating Control")</f>
        <v>0</v>
      </c>
      <c r="K44" s="67">
        <f t="shared" si="4"/>
        <v>0</v>
      </c>
      <c r="L44" s="50">
        <f>COUNTIFS('Self-Assessment_Cases'!$E$4:$E$657,"CM-7",'Self-Assessment_Cases'!$I4:$I657,"Not Implemented - Risk Negligible")</f>
        <v>0</v>
      </c>
      <c r="M44" s="56">
        <f t="shared" si="5"/>
        <v>0</v>
      </c>
      <c r="N44" s="57">
        <f>COUNTIFS('Self-Assessment_Cases'!$E$4:$E$657,"CM-7",'Self-Assessment_Cases'!$I4:$I657,"Not Implemented - Risk Accepted")</f>
        <v>0</v>
      </c>
      <c r="O44" s="57">
        <f t="shared" si="6"/>
        <v>0</v>
      </c>
      <c r="P44" s="58">
        <f>COUNTIFS('Self-Assessment_Cases'!$E$4:$E$657,"CM-7",'Self-Assessment_Cases'!$I4:$I657,"Not Implemented - Planned")</f>
        <v>0</v>
      </c>
      <c r="Q44" s="58">
        <f t="shared" si="7"/>
        <v>0</v>
      </c>
      <c r="R44" s="59">
        <f>COUNTIFS('Self-Assessment_Cases'!$E$4:$E$657,"CM-7",'Self-Assessment_Cases'!$I4:$I657,"Not Implemented - Unplanned")</f>
        <v>0</v>
      </c>
      <c r="S44" s="59">
        <f t="shared" si="8"/>
        <v>0</v>
      </c>
      <c r="T44" s="60">
        <f>COUNTIFS('Self-Assessment_Cases'!$E$4:$E$657,"CM-7",'Self-Assessment_Cases'!$I4:$I657,"Not Applicable")</f>
        <v>0</v>
      </c>
      <c r="U44" s="61"/>
      <c r="V44" s="68" t="e">
        <f t="shared" si="9"/>
        <v>#REF!</v>
      </c>
      <c r="W44" s="44" t="e">
        <f t="shared" si="10"/>
        <v>#REF!</v>
      </c>
    </row>
    <row r="45" spans="1:23" ht="15" customHeight="1" x14ac:dyDescent="0.2">
      <c r="A45" s="45" t="s">
        <v>1485</v>
      </c>
      <c r="B45" s="46" t="e">
        <f>COUNTIF('Self-Assessment_Cases'!#REF!,"*"&amp;A45&amp;"*")</f>
        <v>#REF!</v>
      </c>
      <c r="C45" s="63" t="e">
        <f t="shared" si="0"/>
        <v>#REF!</v>
      </c>
      <c r="D45" s="47">
        <f>COUNTIFS('Self-Assessment_Cases'!$E$4:$E$657,"CM-8",'Self-Assessment_Cases'!$I4:$I657,"In Progress - Administrative")</f>
        <v>0</v>
      </c>
      <c r="E45" s="64">
        <f t="shared" si="1"/>
        <v>0</v>
      </c>
      <c r="F45" s="62">
        <f>COUNTIFS('Self-Assessment_Cases'!$E$4:$E$657,"CM-8",'Self-Assessment_Cases'!$I4:$I657,"In Progress - Configuration")</f>
        <v>0</v>
      </c>
      <c r="G45" s="65">
        <f t="shared" si="2"/>
        <v>0</v>
      </c>
      <c r="H45" s="48">
        <f>COUNTIFS('Self-Assessment_Cases'!$E$4:$E$657,"CM-8",'Self-Assessment_Cases'!$I4:$I657,"In Progress - Installation/Upgrade")</f>
        <v>0</v>
      </c>
      <c r="I45" s="66">
        <f t="shared" si="3"/>
        <v>0</v>
      </c>
      <c r="J45" s="49">
        <f>COUNTIFS('Self-Assessment_Cases'!$E$4:$E$657,"CM-8",'Self-Assessment_Cases'!$I4:$I657,"Not Implemented - Compensating Control")</f>
        <v>0</v>
      </c>
      <c r="K45" s="67">
        <f t="shared" si="4"/>
        <v>0</v>
      </c>
      <c r="L45" s="50">
        <f>COUNTIFS('Self-Assessment_Cases'!$E$4:$E$657,"CM-8",'Self-Assessment_Cases'!$I4:$I657,"Not Implemented - Risk Negligible")</f>
        <v>0</v>
      </c>
      <c r="M45" s="56">
        <f t="shared" si="5"/>
        <v>0</v>
      </c>
      <c r="N45" s="57">
        <f>COUNTIFS('Self-Assessment_Cases'!$E$4:$E$657,"CM-8",'Self-Assessment_Cases'!$I4:$I657,"Not Implemented - Risk Accepted")</f>
        <v>0</v>
      </c>
      <c r="O45" s="57">
        <f t="shared" si="6"/>
        <v>0</v>
      </c>
      <c r="P45" s="58">
        <f>COUNTIFS('Self-Assessment_Cases'!$E$4:$E$657,"CM-8",'Self-Assessment_Cases'!$I4:$I657,"Not Implemented - Planned")</f>
        <v>0</v>
      </c>
      <c r="Q45" s="58">
        <f t="shared" si="7"/>
        <v>0</v>
      </c>
      <c r="R45" s="59">
        <f>COUNTIFS('Self-Assessment_Cases'!$E$4:$E$657,"CM-8",'Self-Assessment_Cases'!$I4:$I657,"Not Implemented - Unplanned")</f>
        <v>0</v>
      </c>
      <c r="S45" s="59">
        <f t="shared" si="8"/>
        <v>0</v>
      </c>
      <c r="T45" s="60">
        <f>COUNTIFS('Self-Assessment_Cases'!$E$4:$E$657,"CM-8",'Self-Assessment_Cases'!$I4:$I657,"Not Applicable")</f>
        <v>0</v>
      </c>
      <c r="U45" s="61"/>
      <c r="V45" s="68" t="e">
        <f t="shared" si="9"/>
        <v>#REF!</v>
      </c>
      <c r="W45" s="44" t="e">
        <f t="shared" si="10"/>
        <v>#REF!</v>
      </c>
    </row>
    <row r="46" spans="1:23" ht="15" customHeight="1" x14ac:dyDescent="0.2">
      <c r="A46" s="45" t="s">
        <v>1486</v>
      </c>
      <c r="B46" s="46" t="e">
        <f>COUNTIF('Self-Assessment_Cases'!#REF!,"*"&amp;A46&amp;"*")</f>
        <v>#REF!</v>
      </c>
      <c r="C46" s="63" t="e">
        <f t="shared" si="0"/>
        <v>#REF!</v>
      </c>
      <c r="D46" s="47">
        <f>COUNTIFS('Self-Assessment_Cases'!$E$4:$E$657,"CM-9",'Self-Assessment_Cases'!$I4:$I657,"In Progress - Administrative")</f>
        <v>0</v>
      </c>
      <c r="E46" s="64">
        <f t="shared" si="1"/>
        <v>0</v>
      </c>
      <c r="F46" s="62">
        <f>COUNTIFS('Self-Assessment_Cases'!$E$4:$E$657,"CM-9",'Self-Assessment_Cases'!$I4:$I657,"In Progress - Configuration")</f>
        <v>0</v>
      </c>
      <c r="G46" s="65">
        <f t="shared" si="2"/>
        <v>0</v>
      </c>
      <c r="H46" s="48">
        <f>COUNTIFS('Self-Assessment_Cases'!$E$4:$E$657,"CM-9",'Self-Assessment_Cases'!$I4:$I657,"In Progress - Installation/Upgrade")</f>
        <v>0</v>
      </c>
      <c r="I46" s="66">
        <f t="shared" si="3"/>
        <v>0</v>
      </c>
      <c r="J46" s="49">
        <f>COUNTIFS('Self-Assessment_Cases'!$E$4:$E$657,"CM-9",'Self-Assessment_Cases'!$I4:$I657,"Not Implemented - Compensating Control")</f>
        <v>0</v>
      </c>
      <c r="K46" s="67">
        <f t="shared" si="4"/>
        <v>0</v>
      </c>
      <c r="L46" s="50">
        <f>COUNTIFS('Self-Assessment_Cases'!$E$4:$E$657,"CM-9",'Self-Assessment_Cases'!$I4:$I657,"Not Implemented - Risk Negligible")</f>
        <v>0</v>
      </c>
      <c r="M46" s="56">
        <f t="shared" si="5"/>
        <v>0</v>
      </c>
      <c r="N46" s="57">
        <f>COUNTIFS('Self-Assessment_Cases'!$E$4:$E$657,"CM-9",'Self-Assessment_Cases'!$I4:$I657,"Not Implemented - Risk Accepted")</f>
        <v>0</v>
      </c>
      <c r="O46" s="57">
        <f t="shared" si="6"/>
        <v>0</v>
      </c>
      <c r="P46" s="58">
        <f>COUNTIFS('Self-Assessment_Cases'!$E$4:$E$657,"CM-9",'Self-Assessment_Cases'!$I4:$I657,"Not Implemented - Planned")</f>
        <v>0</v>
      </c>
      <c r="Q46" s="58">
        <f t="shared" si="7"/>
        <v>0</v>
      </c>
      <c r="R46" s="59">
        <f>COUNTIFS('Self-Assessment_Cases'!$E$4:$E$657,"CM-9",'Self-Assessment_Cases'!$I4:$I657,"Not Implemented - Unplanned")</f>
        <v>0</v>
      </c>
      <c r="S46" s="59">
        <f t="shared" si="8"/>
        <v>0</v>
      </c>
      <c r="T46" s="60">
        <f>COUNTIFS('Self-Assessment_Cases'!$E$4:$E$657,"CM-9",'Self-Assessment_Cases'!$I4:$I657,"Not Applicable")</f>
        <v>0</v>
      </c>
      <c r="U46" s="61"/>
      <c r="V46" s="68" t="e">
        <f t="shared" si="9"/>
        <v>#REF!</v>
      </c>
      <c r="W46" s="44" t="e">
        <f t="shared" si="10"/>
        <v>#REF!</v>
      </c>
    </row>
    <row r="47" spans="1:23" ht="15" customHeight="1" x14ac:dyDescent="0.2">
      <c r="A47" s="45" t="s">
        <v>1487</v>
      </c>
      <c r="B47" s="46" t="e">
        <f>COUNTIF('Self-Assessment_Cases'!#REF!,"*"&amp;A47&amp;"*")</f>
        <v>#REF!</v>
      </c>
      <c r="C47" s="63" t="e">
        <f t="shared" si="0"/>
        <v>#REF!</v>
      </c>
      <c r="D47" s="47">
        <f>COUNTIFS('Self-Assessment_Cases'!$E$4:$E$657,"CP-1",'Self-Assessment_Cases'!$I4:$I657,"In Progress - Administrative")</f>
        <v>0</v>
      </c>
      <c r="E47" s="64">
        <f t="shared" si="1"/>
        <v>0</v>
      </c>
      <c r="F47" s="62">
        <f>COUNTIFS('Self-Assessment_Cases'!$E$4:$E$657,"CP-1",'Self-Assessment_Cases'!$I4:$I657,"In Progress - Configuration")</f>
        <v>0</v>
      </c>
      <c r="G47" s="65">
        <f t="shared" si="2"/>
        <v>0</v>
      </c>
      <c r="H47" s="48">
        <f>COUNTIFS('Self-Assessment_Cases'!$E$4:$E$657,"CP-1",'Self-Assessment_Cases'!$I4:$I657,"In Progress - Installation/Upgrade")</f>
        <v>0</v>
      </c>
      <c r="I47" s="66">
        <f t="shared" si="3"/>
        <v>0</v>
      </c>
      <c r="J47" s="49">
        <f>COUNTIFS('Self-Assessment_Cases'!$E$4:$E$657,"CP-1",'Self-Assessment_Cases'!$I4:$I657,"Not Implemented - Compensating Control")</f>
        <v>0</v>
      </c>
      <c r="K47" s="67">
        <f t="shared" si="4"/>
        <v>0</v>
      </c>
      <c r="L47" s="50">
        <f>COUNTIFS('Self-Assessment_Cases'!$E$4:$E$657,"CP-1",'Self-Assessment_Cases'!$I4:$I657,"Not Implemented - Risk Negligible")</f>
        <v>0</v>
      </c>
      <c r="M47" s="56">
        <f t="shared" si="5"/>
        <v>0</v>
      </c>
      <c r="N47" s="57">
        <f>COUNTIFS('Self-Assessment_Cases'!$E$4:$E$657,"CP-1",'Self-Assessment_Cases'!$I4:$I657,"Not Implemented - Risk Accepted")</f>
        <v>0</v>
      </c>
      <c r="O47" s="57">
        <f t="shared" si="6"/>
        <v>0</v>
      </c>
      <c r="P47" s="58">
        <f>COUNTIFS('Self-Assessment_Cases'!$E$4:$E$657,"CP-1",'Self-Assessment_Cases'!$I4:$I657,"Not Implemented - Planned")</f>
        <v>0</v>
      </c>
      <c r="Q47" s="58">
        <f t="shared" si="7"/>
        <v>0</v>
      </c>
      <c r="R47" s="59">
        <f>COUNTIFS('Self-Assessment_Cases'!$E$4:$E$657,"CP-1",'Self-Assessment_Cases'!$I4:$I657,"Not Implemented - Unplanned")</f>
        <v>0</v>
      </c>
      <c r="S47" s="59">
        <f t="shared" si="8"/>
        <v>0</v>
      </c>
      <c r="T47" s="60">
        <f>COUNTIFS('Self-Assessment_Cases'!$E$4:$E$657,"CP-1",'Self-Assessment_Cases'!$I4:$I657,"Not Applicable")</f>
        <v>0</v>
      </c>
      <c r="U47" s="61"/>
      <c r="V47" s="68" t="e">
        <f t="shared" si="9"/>
        <v>#REF!</v>
      </c>
      <c r="W47" s="44" t="e">
        <f t="shared" si="10"/>
        <v>#REF!</v>
      </c>
    </row>
    <row r="48" spans="1:23" ht="15" customHeight="1" x14ac:dyDescent="0.2">
      <c r="A48" s="45" t="s">
        <v>1443</v>
      </c>
      <c r="B48" s="46" t="e">
        <f>COUNTIF('Self-Assessment_Cases'!#REF!,"*"&amp;A48&amp;"*")</f>
        <v>#REF!</v>
      </c>
      <c r="C48" s="63" t="e">
        <f t="shared" si="0"/>
        <v>#REF!</v>
      </c>
      <c r="D48" s="47">
        <f>COUNTIFS('Self-Assessment_Cases'!$E$4:$E$657,"CP-2",'Self-Assessment_Cases'!$I4:$I657,"In Progress - Administrative")</f>
        <v>0</v>
      </c>
      <c r="E48" s="64">
        <f t="shared" si="1"/>
        <v>0</v>
      </c>
      <c r="F48" s="62">
        <f>COUNTIFS('Self-Assessment_Cases'!$E$4:$E$657,"CP-2",'Self-Assessment_Cases'!$I4:$I657,"In Progress - Configuration")</f>
        <v>0</v>
      </c>
      <c r="G48" s="65">
        <f t="shared" si="2"/>
        <v>0</v>
      </c>
      <c r="H48" s="48">
        <f>COUNTIFS('Self-Assessment_Cases'!$E$4:$E$657,"CP-2",'Self-Assessment_Cases'!$I4:$I657,"In Progress - Installation/Upgrade")</f>
        <v>0</v>
      </c>
      <c r="I48" s="66">
        <f t="shared" si="3"/>
        <v>0</v>
      </c>
      <c r="J48" s="49">
        <f>COUNTIFS('Self-Assessment_Cases'!$E$4:$E$657,"CP-2",'Self-Assessment_Cases'!$I4:$I657,"Not Implemented - Compensating Control")</f>
        <v>0</v>
      </c>
      <c r="K48" s="67">
        <f t="shared" si="4"/>
        <v>0</v>
      </c>
      <c r="L48" s="50">
        <f>COUNTIFS('Self-Assessment_Cases'!$E$4:$E$657,"CP-2",'Self-Assessment_Cases'!$I4:$I657,"Not Implemented - Risk Negligible")</f>
        <v>0</v>
      </c>
      <c r="M48" s="56">
        <f t="shared" si="5"/>
        <v>0</v>
      </c>
      <c r="N48" s="57">
        <f>COUNTIFS('Self-Assessment_Cases'!$E$4:$E$657,"CP-2",'Self-Assessment_Cases'!$I4:$I657,"Not Implemented - Risk Accepted")</f>
        <v>0</v>
      </c>
      <c r="O48" s="57">
        <f t="shared" si="6"/>
        <v>0</v>
      </c>
      <c r="P48" s="58">
        <f>COUNTIFS('Self-Assessment_Cases'!$E$4:$E$657,"CP-2",'Self-Assessment_Cases'!$I4:$I657,"Not Implemented - Planned")</f>
        <v>0</v>
      </c>
      <c r="Q48" s="58">
        <f t="shared" si="7"/>
        <v>0</v>
      </c>
      <c r="R48" s="59">
        <f>COUNTIFS('Self-Assessment_Cases'!$E$4:$E$657,"CP-2",'Self-Assessment_Cases'!$I4:$I657,"Not Implemented - Unplanned")</f>
        <v>0</v>
      </c>
      <c r="S48" s="59">
        <f t="shared" si="8"/>
        <v>0</v>
      </c>
      <c r="T48" s="60">
        <f>COUNTIFS('Self-Assessment_Cases'!$E$4:$E$657,"CP-2",'Self-Assessment_Cases'!$I4:$I657,"Not Applicable")</f>
        <v>0</v>
      </c>
      <c r="U48" s="61"/>
      <c r="V48" s="68" t="e">
        <f t="shared" si="9"/>
        <v>#REF!</v>
      </c>
      <c r="W48" s="44" t="e">
        <f t="shared" si="10"/>
        <v>#REF!</v>
      </c>
    </row>
    <row r="49" spans="1:23" x14ac:dyDescent="0.2">
      <c r="A49" s="45" t="s">
        <v>1488</v>
      </c>
      <c r="B49" s="46" t="e">
        <f>COUNTIF('Self-Assessment_Cases'!#REF!,"*"&amp;A49&amp;"*")</f>
        <v>#REF!</v>
      </c>
      <c r="C49" s="63" t="e">
        <f t="shared" si="0"/>
        <v>#REF!</v>
      </c>
      <c r="D49" s="47">
        <f>COUNTIFS('Self-Assessment_Cases'!$E$4:$E$657,"IA-1",'Self-Assessment_Cases'!$I4:$I657,"In Progress - Administrative")</f>
        <v>0</v>
      </c>
      <c r="E49" s="64">
        <f t="shared" si="1"/>
        <v>0</v>
      </c>
      <c r="F49" s="62">
        <f>COUNTIFS('Self-Assessment_Cases'!$E$4:$E$657,"IA-1",'Self-Assessment_Cases'!$I4:$I657,"In Progress - Configuration")</f>
        <v>0</v>
      </c>
      <c r="G49" s="65">
        <f t="shared" si="2"/>
        <v>0</v>
      </c>
      <c r="H49" s="48">
        <f>COUNTIFS('Self-Assessment_Cases'!$E$4:$E$657,"IA-1",'Self-Assessment_Cases'!$I4:$I657,"In Progress - Installation/Upgrade")</f>
        <v>0</v>
      </c>
      <c r="I49" s="66">
        <f t="shared" si="3"/>
        <v>0</v>
      </c>
      <c r="J49" s="49">
        <f>COUNTIFS('Self-Assessment_Cases'!$E$4:$E$657,"IA-1",'Self-Assessment_Cases'!$I4:$I657,"Not Implemented - Compensating Control")</f>
        <v>0</v>
      </c>
      <c r="K49" s="67">
        <f t="shared" si="4"/>
        <v>0</v>
      </c>
      <c r="L49" s="50">
        <f>COUNTIFS('Self-Assessment_Cases'!$E$4:$E$657,"IA-1",'Self-Assessment_Cases'!$I4:$I657,"Not Implemented - Risk Negligible")</f>
        <v>0</v>
      </c>
      <c r="M49" s="56">
        <f t="shared" si="5"/>
        <v>0</v>
      </c>
      <c r="N49" s="57">
        <f>COUNTIFS('Self-Assessment_Cases'!$E$4:$E$657,"IA-1",'Self-Assessment_Cases'!$I4:$I657,"Not Implemented - Risk Accepted")</f>
        <v>0</v>
      </c>
      <c r="O49" s="57">
        <f t="shared" si="6"/>
        <v>0</v>
      </c>
      <c r="P49" s="58">
        <f>COUNTIFS('Self-Assessment_Cases'!$E$4:$E$657,"IA-1",'Self-Assessment_Cases'!$I4:$I657,"Not Implemented - Planned")</f>
        <v>0</v>
      </c>
      <c r="Q49" s="58">
        <f t="shared" si="7"/>
        <v>0</v>
      </c>
      <c r="R49" s="59">
        <f>COUNTIFS('Self-Assessment_Cases'!$E$4:$E$657,"IA-1",'Self-Assessment_Cases'!$I4:$I657,"Not Implemented - Unplanned")</f>
        <v>0</v>
      </c>
      <c r="S49" s="59">
        <f t="shared" si="8"/>
        <v>0</v>
      </c>
      <c r="T49" s="60">
        <f>COUNTIFS('Self-Assessment_Cases'!$E$4:$E$657,"IA-1",'Self-Assessment_Cases'!$I4:$I657,"Not Applicable")</f>
        <v>0</v>
      </c>
      <c r="U49" s="61"/>
      <c r="V49" s="68" t="e">
        <f t="shared" si="9"/>
        <v>#REF!</v>
      </c>
      <c r="W49" s="44" t="e">
        <f t="shared" si="10"/>
        <v>#REF!</v>
      </c>
    </row>
    <row r="50" spans="1:23" ht="15" customHeight="1" x14ac:dyDescent="0.2">
      <c r="A50" s="45" t="s">
        <v>1489</v>
      </c>
      <c r="B50" s="46" t="e">
        <f>COUNTIF('Self-Assessment_Cases'!#REF!,"*"&amp;A50&amp;"*")</f>
        <v>#REF!</v>
      </c>
      <c r="C50" s="63" t="e">
        <f t="shared" si="0"/>
        <v>#REF!</v>
      </c>
      <c r="D50" s="47">
        <f>COUNTIFS('Self-Assessment_Cases'!$E$4:$E$657,"IA-10",'Self-Assessment_Cases'!$I4:$I657,"In Progress - Administrative")</f>
        <v>0</v>
      </c>
      <c r="E50" s="64">
        <f t="shared" si="1"/>
        <v>0</v>
      </c>
      <c r="F50" s="62">
        <f>COUNTIFS('Self-Assessment_Cases'!$E$4:$E$657,"IA-10",'Self-Assessment_Cases'!$I4:$I657,"In Progress - Configuration")</f>
        <v>0</v>
      </c>
      <c r="G50" s="65">
        <f t="shared" si="2"/>
        <v>0</v>
      </c>
      <c r="H50" s="48">
        <f>COUNTIFS('Self-Assessment_Cases'!$E$4:$E$657,"IA-10",'Self-Assessment_Cases'!$I4:$I657,"In Progress - Installation/Upgrade")</f>
        <v>0</v>
      </c>
      <c r="I50" s="66">
        <f t="shared" si="3"/>
        <v>0</v>
      </c>
      <c r="J50" s="49">
        <f>COUNTIFS('Self-Assessment_Cases'!$E$4:$E$657,"IA-10",'Self-Assessment_Cases'!$I4:$I657,"Not Implemented - Compensating Control")</f>
        <v>0</v>
      </c>
      <c r="K50" s="67">
        <f t="shared" si="4"/>
        <v>0</v>
      </c>
      <c r="L50" s="50">
        <f>COUNTIFS('Self-Assessment_Cases'!$E$4:$E$657,"IA-10",'Self-Assessment_Cases'!$I4:$I657,"Not Implemented - Risk Negligible")</f>
        <v>0</v>
      </c>
      <c r="M50" s="56">
        <f t="shared" si="5"/>
        <v>0</v>
      </c>
      <c r="N50" s="57">
        <f>COUNTIFS('Self-Assessment_Cases'!$E$4:$E$657,"IA-10",'Self-Assessment_Cases'!$I4:$I657,"Not Implemented - Risk Accepted")</f>
        <v>0</v>
      </c>
      <c r="O50" s="57">
        <f t="shared" si="6"/>
        <v>0</v>
      </c>
      <c r="P50" s="58">
        <f>COUNTIFS('Self-Assessment_Cases'!$E$4:$E$657,"IA-10",'Self-Assessment_Cases'!$I4:$I657,"Not Implemented - Planned")</f>
        <v>0</v>
      </c>
      <c r="Q50" s="58">
        <f t="shared" si="7"/>
        <v>0</v>
      </c>
      <c r="R50" s="59">
        <f>COUNTIFS('Self-Assessment_Cases'!$E$4:$E$657,"IA-10",'Self-Assessment_Cases'!$I4:$I657,"Not Implemented - Unplanned")</f>
        <v>0</v>
      </c>
      <c r="S50" s="59">
        <f t="shared" si="8"/>
        <v>0</v>
      </c>
      <c r="T50" s="60">
        <f>COUNTIFS('Self-Assessment_Cases'!$E$4:$E$657,"IA-10",'Self-Assessment_Cases'!$I4:$I657,"Not Applicable")</f>
        <v>0</v>
      </c>
      <c r="U50" s="61"/>
      <c r="V50" s="68" t="e">
        <f t="shared" si="9"/>
        <v>#REF!</v>
      </c>
      <c r="W50" s="44" t="e">
        <f t="shared" si="10"/>
        <v>#REF!</v>
      </c>
    </row>
    <row r="51" spans="1:23" ht="15" customHeight="1" x14ac:dyDescent="0.2">
      <c r="A51" s="45" t="s">
        <v>1441</v>
      </c>
      <c r="B51" s="46" t="e">
        <f>COUNTIF('Self-Assessment_Cases'!#REF!,"*"&amp;A51&amp;"*")</f>
        <v>#REF!</v>
      </c>
      <c r="C51" s="63" t="e">
        <f t="shared" si="0"/>
        <v>#REF!</v>
      </c>
      <c r="D51" s="47">
        <f>COUNTIFS('Self-Assessment_Cases'!$E$4:$E$657,"IA-11",'Self-Assessment_Cases'!$I4:$I657,"In Progress - Administrative")</f>
        <v>0</v>
      </c>
      <c r="E51" s="64">
        <f t="shared" si="1"/>
        <v>0</v>
      </c>
      <c r="F51" s="62">
        <f>COUNTIFS('Self-Assessment_Cases'!$E$4:$E$657,"IA-11",'Self-Assessment_Cases'!$I4:$I657,"In Progress - Configuration")</f>
        <v>0</v>
      </c>
      <c r="G51" s="65">
        <f t="shared" si="2"/>
        <v>0</v>
      </c>
      <c r="H51" s="48">
        <f>COUNTIFS('Self-Assessment_Cases'!$E$4:$E$657,"IA-11",'Self-Assessment_Cases'!$I4:$I657,"In Progress - Installation/Upgrade")</f>
        <v>0</v>
      </c>
      <c r="I51" s="66">
        <f t="shared" si="3"/>
        <v>0</v>
      </c>
      <c r="J51" s="49">
        <f>COUNTIFS('Self-Assessment_Cases'!$E$4:$E$657,"IA-11",'Self-Assessment_Cases'!$I4:$I657,"Not Implemented - Compensating Control")</f>
        <v>0</v>
      </c>
      <c r="K51" s="67">
        <f t="shared" si="4"/>
        <v>0</v>
      </c>
      <c r="L51" s="50">
        <f>COUNTIFS('Self-Assessment_Cases'!$E$4:$E$657,"IA-11",'Self-Assessment_Cases'!$I4:$I657,"Not Implemented - Risk Negligible")</f>
        <v>0</v>
      </c>
      <c r="M51" s="56">
        <f t="shared" si="5"/>
        <v>0</v>
      </c>
      <c r="N51" s="57">
        <f>COUNTIFS('Self-Assessment_Cases'!$E$4:$E$657,"IA-11",'Self-Assessment_Cases'!$I4:$I657,"Not Implemented - Risk Accepted")</f>
        <v>0</v>
      </c>
      <c r="O51" s="57">
        <f t="shared" si="6"/>
        <v>0</v>
      </c>
      <c r="P51" s="58">
        <f>COUNTIFS('Self-Assessment_Cases'!$E$4:$E$657,"IA-11",'Self-Assessment_Cases'!$I4:$I657,"Not Implemented - Planned")</f>
        <v>0</v>
      </c>
      <c r="Q51" s="58">
        <f t="shared" si="7"/>
        <v>0</v>
      </c>
      <c r="R51" s="59">
        <f>COUNTIFS('Self-Assessment_Cases'!$E$4:$E$657,"IA-11",'Self-Assessment_Cases'!$I4:$I657,"Not Implemented - Unplanned")</f>
        <v>0</v>
      </c>
      <c r="S51" s="59">
        <f t="shared" si="8"/>
        <v>0</v>
      </c>
      <c r="T51" s="60">
        <f>COUNTIFS('Self-Assessment_Cases'!$E$4:$E$657,"IA-11",'Self-Assessment_Cases'!$I4:$I657,"Not Applicable")</f>
        <v>0</v>
      </c>
      <c r="U51" s="61"/>
      <c r="V51" s="68" t="e">
        <f t="shared" si="9"/>
        <v>#REF!</v>
      </c>
      <c r="W51" s="44" t="e">
        <f t="shared" si="10"/>
        <v>#REF!</v>
      </c>
    </row>
    <row r="52" spans="1:23" x14ac:dyDescent="0.2">
      <c r="A52" s="45" t="s">
        <v>1490</v>
      </c>
      <c r="B52" s="46" t="e">
        <f>COUNTIF('Self-Assessment_Cases'!#REF!,"*"&amp;A52&amp;"*")</f>
        <v>#REF!</v>
      </c>
      <c r="C52" s="63" t="e">
        <f t="shared" si="0"/>
        <v>#REF!</v>
      </c>
      <c r="D52" s="47">
        <f>COUNTIFS('Self-Assessment_Cases'!$E$4:$E$657,"IA-2",'Self-Assessment_Cases'!$I4:$I657,"In Progress - Administrative")</f>
        <v>0</v>
      </c>
      <c r="E52" s="64">
        <f t="shared" si="1"/>
        <v>0</v>
      </c>
      <c r="F52" s="62">
        <f>COUNTIFS('Self-Assessment_Cases'!$E$4:$E$657,"IA-2",'Self-Assessment_Cases'!$I4:$I657,"In Progress - Configuration")</f>
        <v>0</v>
      </c>
      <c r="G52" s="65">
        <f t="shared" si="2"/>
        <v>0</v>
      </c>
      <c r="H52" s="48">
        <f>COUNTIFS('Self-Assessment_Cases'!$E$4:$E$657,"IA-2",'Self-Assessment_Cases'!$I4:$I657,"In Progress - Installation/Upgrade")</f>
        <v>0</v>
      </c>
      <c r="I52" s="66">
        <f t="shared" si="3"/>
        <v>0</v>
      </c>
      <c r="J52" s="49">
        <f>COUNTIFS('Self-Assessment_Cases'!$E$4:$E$657,"IA-2",'Self-Assessment_Cases'!$I4:$I657,"Not Implemented - Compensating Control")</f>
        <v>0</v>
      </c>
      <c r="K52" s="67">
        <f t="shared" si="4"/>
        <v>0</v>
      </c>
      <c r="L52" s="50">
        <f>COUNTIFS('Self-Assessment_Cases'!$E$4:$E$657,"IA-2",'Self-Assessment_Cases'!$I4:$I657,"Not Implemented - Risk Negligible")</f>
        <v>0</v>
      </c>
      <c r="M52" s="56">
        <f t="shared" si="5"/>
        <v>0</v>
      </c>
      <c r="N52" s="57">
        <f>COUNTIFS('Self-Assessment_Cases'!$E$4:$E$657,"IA-2",'Self-Assessment_Cases'!$I4:$I657,"Not Implemented - Risk Accepted")</f>
        <v>0</v>
      </c>
      <c r="O52" s="57">
        <f t="shared" si="6"/>
        <v>0</v>
      </c>
      <c r="P52" s="58">
        <f>COUNTIFS('Self-Assessment_Cases'!$E$4:$E$657,"IA-2",'Self-Assessment_Cases'!$I4:$I657,"Not Implemented - Planned")</f>
        <v>0</v>
      </c>
      <c r="Q52" s="58">
        <f t="shared" si="7"/>
        <v>0</v>
      </c>
      <c r="R52" s="59">
        <f>COUNTIFS('Self-Assessment_Cases'!$E$4:$E$657,"IA-2",'Self-Assessment_Cases'!$I4:$I657,"Not Implemented - Unplanned")</f>
        <v>0</v>
      </c>
      <c r="S52" s="59">
        <f t="shared" si="8"/>
        <v>0</v>
      </c>
      <c r="T52" s="60">
        <f>COUNTIFS('Self-Assessment_Cases'!$E$4:$E$657,"IA-2",'Self-Assessment_Cases'!$I4:$I657,"Not Applicable")</f>
        <v>0</v>
      </c>
      <c r="U52" s="61"/>
      <c r="V52" s="68" t="e">
        <f t="shared" si="9"/>
        <v>#REF!</v>
      </c>
      <c r="W52" s="44" t="e">
        <f t="shared" si="10"/>
        <v>#REF!</v>
      </c>
    </row>
    <row r="53" spans="1:23" ht="15" customHeight="1" x14ac:dyDescent="0.2">
      <c r="A53" s="45" t="s">
        <v>1491</v>
      </c>
      <c r="B53" s="46" t="e">
        <f>COUNTIF('Self-Assessment_Cases'!#REF!,"*"&amp;A53&amp;"*")</f>
        <v>#REF!</v>
      </c>
      <c r="C53" s="63" t="e">
        <f t="shared" si="0"/>
        <v>#REF!</v>
      </c>
      <c r="D53" s="47">
        <f>COUNTIFS('Self-Assessment_Cases'!$E$4:$E$657,"IA-3",'Self-Assessment_Cases'!$I4:$I657,"In Progress - Administrative")</f>
        <v>0</v>
      </c>
      <c r="E53" s="64">
        <f t="shared" si="1"/>
        <v>0</v>
      </c>
      <c r="F53" s="62">
        <f>COUNTIFS('Self-Assessment_Cases'!$E$4:$E$657,"IA-3",'Self-Assessment_Cases'!$I4:$I657,"In Progress - Configuration")</f>
        <v>0</v>
      </c>
      <c r="G53" s="65">
        <f t="shared" si="2"/>
        <v>0</v>
      </c>
      <c r="H53" s="48">
        <f>COUNTIFS('Self-Assessment_Cases'!$E$4:$E$657,"IA-3",'Self-Assessment_Cases'!$I4:$I657,"In Progress - Installation/Upgrade")</f>
        <v>0</v>
      </c>
      <c r="I53" s="66">
        <f t="shared" si="3"/>
        <v>0</v>
      </c>
      <c r="J53" s="49">
        <f>COUNTIFS('Self-Assessment_Cases'!$E$4:$E$657,"IA-3",'Self-Assessment_Cases'!$I4:$I657,"Not Implemented - Compensating Control")</f>
        <v>0</v>
      </c>
      <c r="K53" s="67">
        <f t="shared" si="4"/>
        <v>0</v>
      </c>
      <c r="L53" s="50">
        <f>COUNTIFS('Self-Assessment_Cases'!$E$4:$E$657,"IA-3",'Self-Assessment_Cases'!$I4:$I657,"Not Implemented - Risk Negligible")</f>
        <v>0</v>
      </c>
      <c r="M53" s="56">
        <f t="shared" si="5"/>
        <v>0</v>
      </c>
      <c r="N53" s="57">
        <f>COUNTIFS('Self-Assessment_Cases'!$E$4:$E$657,"IA-3",'Self-Assessment_Cases'!$I4:$I657,"Not Implemented - Risk Accepted")</f>
        <v>0</v>
      </c>
      <c r="O53" s="57">
        <f t="shared" si="6"/>
        <v>0</v>
      </c>
      <c r="P53" s="58">
        <f>COUNTIFS('Self-Assessment_Cases'!$E$4:$E$657,"IA-3",'Self-Assessment_Cases'!$I4:$I657,"Not Implemented - Planned")</f>
        <v>0</v>
      </c>
      <c r="Q53" s="58">
        <f t="shared" si="7"/>
        <v>0</v>
      </c>
      <c r="R53" s="59">
        <f>COUNTIFS('Self-Assessment_Cases'!$E$4:$E$657,"IA-3",'Self-Assessment_Cases'!$I4:$I657,"Not Implemented - Unplanned")</f>
        <v>0</v>
      </c>
      <c r="S53" s="59">
        <f t="shared" si="8"/>
        <v>0</v>
      </c>
      <c r="T53" s="60">
        <f>COUNTIFS('Self-Assessment_Cases'!$E$4:$E$657,"IA-3",'Self-Assessment_Cases'!$I4:$I657,"Not Applicable")</f>
        <v>0</v>
      </c>
      <c r="U53" s="61"/>
      <c r="V53" s="68" t="e">
        <f t="shared" si="9"/>
        <v>#REF!</v>
      </c>
      <c r="W53" s="44" t="e">
        <f t="shared" si="10"/>
        <v>#REF!</v>
      </c>
    </row>
    <row r="54" spans="1:23" ht="15" customHeight="1" x14ac:dyDescent="0.2">
      <c r="A54" s="45" t="s">
        <v>1492</v>
      </c>
      <c r="B54" s="46" t="e">
        <f>COUNTIF('Self-Assessment_Cases'!#REF!,"*"&amp;A54&amp;"*")</f>
        <v>#REF!</v>
      </c>
      <c r="C54" s="63" t="e">
        <f t="shared" si="0"/>
        <v>#REF!</v>
      </c>
      <c r="D54" s="47">
        <f>COUNTIFS('Self-Assessment_Cases'!$E$4:$E$657,"IA-4",'Self-Assessment_Cases'!$I4:$I657,"In Progress - Administrative")</f>
        <v>0</v>
      </c>
      <c r="E54" s="64">
        <f t="shared" si="1"/>
        <v>0</v>
      </c>
      <c r="F54" s="62">
        <f>COUNTIFS('Self-Assessment_Cases'!$E$4:$E$657,"IA-4",'Self-Assessment_Cases'!$I4:$I657,"In Progress - Configuration")</f>
        <v>0</v>
      </c>
      <c r="G54" s="65">
        <f t="shared" si="2"/>
        <v>0</v>
      </c>
      <c r="H54" s="48">
        <f>COUNTIFS('Self-Assessment_Cases'!$E$4:$E$657,"IA-4",'Self-Assessment_Cases'!$I4:$I657,"In Progress - Installation/Upgrade")</f>
        <v>0</v>
      </c>
      <c r="I54" s="66">
        <f t="shared" si="3"/>
        <v>0</v>
      </c>
      <c r="J54" s="49">
        <f>COUNTIFS('Self-Assessment_Cases'!$E$4:$E$657,"IA-4",'Self-Assessment_Cases'!$I4:$I657,"Not Implemented - Compensating Control")</f>
        <v>0</v>
      </c>
      <c r="K54" s="67">
        <f t="shared" si="4"/>
        <v>0</v>
      </c>
      <c r="L54" s="50">
        <f>COUNTIFS('Self-Assessment_Cases'!$E$4:$E$657,"IA-4",'Self-Assessment_Cases'!$I4:$I657,"Not Implemented - Risk Negligible")</f>
        <v>0</v>
      </c>
      <c r="M54" s="56">
        <f t="shared" si="5"/>
        <v>0</v>
      </c>
      <c r="N54" s="57">
        <f>COUNTIFS('Self-Assessment_Cases'!$E$4:$E$657,"IA-4",'Self-Assessment_Cases'!$I4:$I657,"Not Implemented - Risk Accepted")</f>
        <v>0</v>
      </c>
      <c r="O54" s="57">
        <f t="shared" si="6"/>
        <v>0</v>
      </c>
      <c r="P54" s="58">
        <f>COUNTIFS('Self-Assessment_Cases'!$E$4:$E$657,"IA-4",'Self-Assessment_Cases'!$I4:$I657,"Not Implemented - Planned")</f>
        <v>0</v>
      </c>
      <c r="Q54" s="58">
        <f t="shared" si="7"/>
        <v>0</v>
      </c>
      <c r="R54" s="59">
        <f>COUNTIFS('Self-Assessment_Cases'!$E$4:$E$657,"IA-4",'Self-Assessment_Cases'!$I4:$I657,"Not Implemented - Unplanned")</f>
        <v>0</v>
      </c>
      <c r="S54" s="59">
        <f t="shared" si="8"/>
        <v>0</v>
      </c>
      <c r="T54" s="60">
        <f>COUNTIFS('Self-Assessment_Cases'!$E$4:$E$657,"IA-4",'Self-Assessment_Cases'!$I4:$I657,"Not Applicable")</f>
        <v>0</v>
      </c>
      <c r="U54" s="61"/>
      <c r="V54" s="68" t="e">
        <f t="shared" si="9"/>
        <v>#REF!</v>
      </c>
      <c r="W54" s="44" t="e">
        <f t="shared" si="10"/>
        <v>#REF!</v>
      </c>
    </row>
    <row r="55" spans="1:23" ht="15" customHeight="1" x14ac:dyDescent="0.2">
      <c r="A55" s="45" t="s">
        <v>1493</v>
      </c>
      <c r="B55" s="46" t="e">
        <f>COUNTIF('Self-Assessment_Cases'!#REF!,"*"&amp;A55&amp;"*")</f>
        <v>#REF!</v>
      </c>
      <c r="C55" s="63" t="e">
        <f t="shared" si="0"/>
        <v>#REF!</v>
      </c>
      <c r="D55" s="47">
        <f>COUNTIFS('Self-Assessment_Cases'!$E$4:$E$657,"IA-5",'Self-Assessment_Cases'!$I4:$I657,"In Progress - Administrative")</f>
        <v>0</v>
      </c>
      <c r="E55" s="64">
        <f t="shared" si="1"/>
        <v>0</v>
      </c>
      <c r="F55" s="62">
        <f>COUNTIFS('Self-Assessment_Cases'!$E$4:$E$657,"IA-5",'Self-Assessment_Cases'!$I4:$I657,"In Progress - Configuration")</f>
        <v>0</v>
      </c>
      <c r="G55" s="65">
        <f t="shared" si="2"/>
        <v>0</v>
      </c>
      <c r="H55" s="48">
        <f>COUNTIFS('Self-Assessment_Cases'!$E$4:$E$657,"IA-5",'Self-Assessment_Cases'!$I4:$I657,"In Progress - Installation/Upgrade")</f>
        <v>0</v>
      </c>
      <c r="I55" s="66">
        <f t="shared" si="3"/>
        <v>0</v>
      </c>
      <c r="J55" s="49">
        <f>COUNTIFS('Self-Assessment_Cases'!$E$4:$E$657,"IA-5",'Self-Assessment_Cases'!$I4:$I657,"Not Implemented - Compensating Control")</f>
        <v>0</v>
      </c>
      <c r="K55" s="67">
        <f t="shared" si="4"/>
        <v>0</v>
      </c>
      <c r="L55" s="50">
        <f>COUNTIFS('Self-Assessment_Cases'!$E$4:$E$657,"IA-5",'Self-Assessment_Cases'!$I4:$I657,"Not Implemented - Risk Negligible")</f>
        <v>0</v>
      </c>
      <c r="M55" s="56">
        <f t="shared" si="5"/>
        <v>0</v>
      </c>
      <c r="N55" s="57">
        <f>COUNTIFS('Self-Assessment_Cases'!$E$4:$E$657,"IA-5",'Self-Assessment_Cases'!$I4:$I657,"Not Implemented - Risk Accepted")</f>
        <v>0</v>
      </c>
      <c r="O55" s="57">
        <f t="shared" si="6"/>
        <v>0</v>
      </c>
      <c r="P55" s="58">
        <f>COUNTIFS('Self-Assessment_Cases'!$E$4:$E$657,"IA-5",'Self-Assessment_Cases'!$I4:$I657,"Not Implemented - Planned")</f>
        <v>0</v>
      </c>
      <c r="Q55" s="58">
        <f t="shared" si="7"/>
        <v>0</v>
      </c>
      <c r="R55" s="59">
        <f>COUNTIFS('Self-Assessment_Cases'!$E$4:$E$657,"IA-5",'Self-Assessment_Cases'!$I4:$I657,"Not Implemented - Unplanned")</f>
        <v>0</v>
      </c>
      <c r="S55" s="59">
        <f t="shared" si="8"/>
        <v>0</v>
      </c>
      <c r="T55" s="60">
        <f>COUNTIFS('Self-Assessment_Cases'!$E$4:$E$657,"IA-5",'Self-Assessment_Cases'!$I4:$I657,"Not Applicable")</f>
        <v>0</v>
      </c>
      <c r="U55" s="61"/>
      <c r="V55" s="68" t="e">
        <f t="shared" si="9"/>
        <v>#REF!</v>
      </c>
      <c r="W55" s="44" t="e">
        <f t="shared" si="10"/>
        <v>#REF!</v>
      </c>
    </row>
    <row r="56" spans="1:23" ht="15" customHeight="1" x14ac:dyDescent="0.2">
      <c r="A56" s="45" t="s">
        <v>1494</v>
      </c>
      <c r="B56" s="46" t="e">
        <f>COUNTIF('Self-Assessment_Cases'!#REF!,"*"&amp;A56&amp;"*")</f>
        <v>#REF!</v>
      </c>
      <c r="C56" s="63" t="e">
        <f t="shared" si="0"/>
        <v>#REF!</v>
      </c>
      <c r="D56" s="47">
        <f>COUNTIFS('Self-Assessment_Cases'!$E$4:$E$657,"IA-6",'Self-Assessment_Cases'!$I4:$I657,"In Progress - Administrative")</f>
        <v>0</v>
      </c>
      <c r="E56" s="64">
        <f t="shared" si="1"/>
        <v>0</v>
      </c>
      <c r="F56" s="62">
        <f>COUNTIFS('Self-Assessment_Cases'!$E$4:$E$657,"IA-6",'Self-Assessment_Cases'!$I4:$I657,"In Progress - Configuration")</f>
        <v>0</v>
      </c>
      <c r="G56" s="65">
        <f t="shared" si="2"/>
        <v>0</v>
      </c>
      <c r="H56" s="48">
        <f>COUNTIFS('Self-Assessment_Cases'!$E$4:$E$657,"IA-6",'Self-Assessment_Cases'!$I4:$I657,"In Progress - Installation/Upgrade")</f>
        <v>0</v>
      </c>
      <c r="I56" s="66">
        <f t="shared" si="3"/>
        <v>0</v>
      </c>
      <c r="J56" s="49">
        <f>COUNTIFS('Self-Assessment_Cases'!$E$4:$E$657,"IA-6",'Self-Assessment_Cases'!$I4:$I657,"Not Implemented - Compensating Control")</f>
        <v>0</v>
      </c>
      <c r="K56" s="67">
        <f t="shared" si="4"/>
        <v>0</v>
      </c>
      <c r="L56" s="50">
        <f>COUNTIFS('Self-Assessment_Cases'!$E$4:$E$657,"IA-6",'Self-Assessment_Cases'!$I4:$I657,"Not Implemented - Risk Negligible")</f>
        <v>0</v>
      </c>
      <c r="M56" s="56">
        <f t="shared" si="5"/>
        <v>0</v>
      </c>
      <c r="N56" s="57">
        <f>COUNTIFS('Self-Assessment_Cases'!$E$4:$E$657,"IA-6",'Self-Assessment_Cases'!$I4:$I657,"Not Implemented - Risk Accepted")</f>
        <v>0</v>
      </c>
      <c r="O56" s="57">
        <f t="shared" si="6"/>
        <v>0</v>
      </c>
      <c r="P56" s="58">
        <f>COUNTIFS('Self-Assessment_Cases'!$E$4:$E$657,"IA-6",'Self-Assessment_Cases'!$I4:$I657,"Not Implemented - Planned")</f>
        <v>0</v>
      </c>
      <c r="Q56" s="58">
        <f t="shared" si="7"/>
        <v>0</v>
      </c>
      <c r="R56" s="59">
        <f>COUNTIFS('Self-Assessment_Cases'!$E$4:$E$657,"IA-6",'Self-Assessment_Cases'!$I4:$I657,"Not Implemented - Unplanned")</f>
        <v>0</v>
      </c>
      <c r="S56" s="59">
        <f t="shared" si="8"/>
        <v>0</v>
      </c>
      <c r="T56" s="60">
        <f>COUNTIFS('Self-Assessment_Cases'!$E$4:$E$657,"IA-6",'Self-Assessment_Cases'!$I4:$I657,"Not Applicable")</f>
        <v>0</v>
      </c>
      <c r="U56" s="61"/>
      <c r="V56" s="68" t="e">
        <f t="shared" si="9"/>
        <v>#REF!</v>
      </c>
      <c r="W56" s="44" t="e">
        <f t="shared" si="10"/>
        <v>#REF!</v>
      </c>
    </row>
    <row r="57" spans="1:23" ht="15" customHeight="1" x14ac:dyDescent="0.2">
      <c r="A57" s="45" t="s">
        <v>1495</v>
      </c>
      <c r="B57" s="46" t="e">
        <f>COUNTIF('Self-Assessment_Cases'!#REF!,"*"&amp;A57&amp;"*")</f>
        <v>#REF!</v>
      </c>
      <c r="C57" s="63" t="e">
        <f t="shared" si="0"/>
        <v>#REF!</v>
      </c>
      <c r="D57" s="47">
        <f>COUNTIFS('Self-Assessment_Cases'!$E$4:$E$657,"IA-7",'Self-Assessment_Cases'!$I4:$I657,"In Progress - Administrative")</f>
        <v>0</v>
      </c>
      <c r="E57" s="64">
        <f t="shared" si="1"/>
        <v>0</v>
      </c>
      <c r="F57" s="62">
        <f>COUNTIFS('Self-Assessment_Cases'!$E$4:$E$657,"IA-7",'Self-Assessment_Cases'!$I4:$I657,"In Progress - Configuration")</f>
        <v>0</v>
      </c>
      <c r="G57" s="65">
        <f t="shared" si="2"/>
        <v>0</v>
      </c>
      <c r="H57" s="48">
        <f>COUNTIFS('Self-Assessment_Cases'!$E$4:$E$657,"IA-7",'Self-Assessment_Cases'!$I4:$I657,"In Progress - Installation/Upgrade")</f>
        <v>0</v>
      </c>
      <c r="I57" s="66">
        <f t="shared" si="3"/>
        <v>0</v>
      </c>
      <c r="J57" s="49">
        <f>COUNTIFS('Self-Assessment_Cases'!$E$4:$E$657,"IA-7",'Self-Assessment_Cases'!$I4:$I657,"Not Implemented - Compensating Control")</f>
        <v>0</v>
      </c>
      <c r="K57" s="67">
        <f t="shared" si="4"/>
        <v>0</v>
      </c>
      <c r="L57" s="50">
        <f>COUNTIFS('Self-Assessment_Cases'!$E$4:$E$657,"IA-7",'Self-Assessment_Cases'!$I4:$I657,"Not Implemented - Risk Negligible")</f>
        <v>0</v>
      </c>
      <c r="M57" s="56">
        <f t="shared" si="5"/>
        <v>0</v>
      </c>
      <c r="N57" s="57">
        <f>COUNTIFS('Self-Assessment_Cases'!$E$4:$E$657,"IA-7",'Self-Assessment_Cases'!$I4:$I657,"Not Implemented - Risk Accepted")</f>
        <v>0</v>
      </c>
      <c r="O57" s="57">
        <f t="shared" si="6"/>
        <v>0</v>
      </c>
      <c r="P57" s="58">
        <f>COUNTIFS('Self-Assessment_Cases'!$E$4:$E$657,"IA-7",'Self-Assessment_Cases'!$I4:$I657,"Not Implemented - Planned")</f>
        <v>0</v>
      </c>
      <c r="Q57" s="58">
        <f t="shared" si="7"/>
        <v>0</v>
      </c>
      <c r="R57" s="59">
        <f>COUNTIFS('Self-Assessment_Cases'!$E$4:$E$657,"IA-7",'Self-Assessment_Cases'!$I4:$I657,"Not Implemented - Unplanned")</f>
        <v>0</v>
      </c>
      <c r="S57" s="59">
        <f t="shared" si="8"/>
        <v>0</v>
      </c>
      <c r="T57" s="60">
        <f>COUNTIFS('Self-Assessment_Cases'!$E$4:$E$657,"IA-7",'Self-Assessment_Cases'!$I4:$I657,"Not Applicable")</f>
        <v>0</v>
      </c>
      <c r="U57" s="61"/>
      <c r="V57" s="68" t="e">
        <f t="shared" si="9"/>
        <v>#REF!</v>
      </c>
      <c r="W57" s="44" t="e">
        <f t="shared" si="10"/>
        <v>#REF!</v>
      </c>
    </row>
    <row r="58" spans="1:23" ht="15" customHeight="1" x14ac:dyDescent="0.2">
      <c r="A58" s="45" t="s">
        <v>1496</v>
      </c>
      <c r="B58" s="46" t="e">
        <f>COUNTIF('Self-Assessment_Cases'!#REF!,"*"&amp;A58&amp;"*")</f>
        <v>#REF!</v>
      </c>
      <c r="C58" s="63" t="e">
        <f t="shared" si="0"/>
        <v>#REF!</v>
      </c>
      <c r="D58" s="47">
        <f>COUNTIFS('Self-Assessment_Cases'!$E$4:$E$657,"IA-8",'Self-Assessment_Cases'!$I4:$I657,"In Progress - Administrative")</f>
        <v>0</v>
      </c>
      <c r="E58" s="64">
        <f t="shared" si="1"/>
        <v>0</v>
      </c>
      <c r="F58" s="62">
        <f>COUNTIFS('Self-Assessment_Cases'!$E$4:$E$657,"IA-8",'Self-Assessment_Cases'!$I4:$I657,"In Progress - Configuration")</f>
        <v>0</v>
      </c>
      <c r="G58" s="65">
        <f t="shared" si="2"/>
        <v>0</v>
      </c>
      <c r="H58" s="48">
        <f>COUNTIFS('Self-Assessment_Cases'!$E$4:$E$657,"IA-8",'Self-Assessment_Cases'!$I4:$I657,"In Progress - Installation/Upgrade")</f>
        <v>0</v>
      </c>
      <c r="I58" s="66">
        <f t="shared" si="3"/>
        <v>0</v>
      </c>
      <c r="J58" s="49">
        <f>COUNTIFS('Self-Assessment_Cases'!$E$4:$E$657,"IA-8",'Self-Assessment_Cases'!$I4:$I657,"Not Implemented - Compensating Control")</f>
        <v>0</v>
      </c>
      <c r="K58" s="67">
        <f t="shared" si="4"/>
        <v>0</v>
      </c>
      <c r="L58" s="50">
        <f>COUNTIFS('Self-Assessment_Cases'!$E$4:$E$657,"IA-8",'Self-Assessment_Cases'!$I4:$I657,"Not Implemented - Risk Negligible")</f>
        <v>0</v>
      </c>
      <c r="M58" s="56">
        <f t="shared" si="5"/>
        <v>0</v>
      </c>
      <c r="N58" s="57">
        <f>COUNTIFS('Self-Assessment_Cases'!$E$4:$E$657,"IA-8",'Self-Assessment_Cases'!$I4:$I657,"Not Implemented - Risk Accepted")</f>
        <v>0</v>
      </c>
      <c r="O58" s="57">
        <f t="shared" si="6"/>
        <v>0</v>
      </c>
      <c r="P58" s="58">
        <f>COUNTIFS('Self-Assessment_Cases'!$E$4:$E$657,"IA-8",'Self-Assessment_Cases'!$I4:$I657,"Not Implemented - Planned")</f>
        <v>0</v>
      </c>
      <c r="Q58" s="58">
        <f t="shared" si="7"/>
        <v>0</v>
      </c>
      <c r="R58" s="59">
        <f>COUNTIFS('Self-Assessment_Cases'!$E$4:$E$657,"IA-8",'Self-Assessment_Cases'!$I4:$I657,"Not Implemented - Unplanned")</f>
        <v>0</v>
      </c>
      <c r="S58" s="59">
        <f t="shared" si="8"/>
        <v>0</v>
      </c>
      <c r="T58" s="60">
        <f>COUNTIFS('Self-Assessment_Cases'!$E$4:$E$657,"IA-8",'Self-Assessment_Cases'!$I4:$I657,"Not Applicable")</f>
        <v>0</v>
      </c>
      <c r="U58" s="61"/>
      <c r="V58" s="68" t="e">
        <f t="shared" si="9"/>
        <v>#REF!</v>
      </c>
      <c r="W58" s="44" t="e">
        <f t="shared" si="10"/>
        <v>#REF!</v>
      </c>
    </row>
    <row r="59" spans="1:23" ht="15" customHeight="1" x14ac:dyDescent="0.2">
      <c r="A59" s="45" t="s">
        <v>1497</v>
      </c>
      <c r="B59" s="46" t="e">
        <f>COUNTIF('Self-Assessment_Cases'!#REF!,"*"&amp;A59&amp;"*")</f>
        <v>#REF!</v>
      </c>
      <c r="C59" s="63" t="e">
        <f t="shared" si="0"/>
        <v>#REF!</v>
      </c>
      <c r="D59" s="47">
        <f>COUNTIFS('Self-Assessment_Cases'!$E$4:$E$657,"IA-9",'Self-Assessment_Cases'!$I4:$I657,"In Progress - Administrative")</f>
        <v>0</v>
      </c>
      <c r="E59" s="64">
        <f t="shared" si="1"/>
        <v>0</v>
      </c>
      <c r="F59" s="62">
        <f>COUNTIFS('Self-Assessment_Cases'!$E$4:$E$657,"IA-9",'Self-Assessment_Cases'!$I4:$I657,"In Progress - Configuration")</f>
        <v>0</v>
      </c>
      <c r="G59" s="65">
        <f t="shared" si="2"/>
        <v>0</v>
      </c>
      <c r="H59" s="48">
        <f>COUNTIFS('Self-Assessment_Cases'!$E$4:$E$657,"IA-9",'Self-Assessment_Cases'!$I4:$I657,"In Progress - Installation/Upgrade")</f>
        <v>0</v>
      </c>
      <c r="I59" s="66">
        <f t="shared" si="3"/>
        <v>0</v>
      </c>
      <c r="J59" s="49">
        <f>COUNTIFS('Self-Assessment_Cases'!$E$4:$E$657,"IA-9",'Self-Assessment_Cases'!$I4:$I657,"Not Implemented - Compensating Control")</f>
        <v>0</v>
      </c>
      <c r="K59" s="67">
        <f t="shared" si="4"/>
        <v>0</v>
      </c>
      <c r="L59" s="50">
        <f>COUNTIFS('Self-Assessment_Cases'!$E$4:$E$657,"IA-9",'Self-Assessment_Cases'!$I4:$I657,"Not Implemented - Risk Negligible")</f>
        <v>0</v>
      </c>
      <c r="M59" s="56">
        <f t="shared" si="5"/>
        <v>0</v>
      </c>
      <c r="N59" s="57">
        <f>COUNTIFS('Self-Assessment_Cases'!$E$4:$E$657,"IA-9",'Self-Assessment_Cases'!$I4:$I657,"Not Implemented - Risk Accepted")</f>
        <v>0</v>
      </c>
      <c r="O59" s="57">
        <f t="shared" si="6"/>
        <v>0</v>
      </c>
      <c r="P59" s="58">
        <f>COUNTIFS('Self-Assessment_Cases'!$E$4:$E$657,"IA-9",'Self-Assessment_Cases'!$I4:$I657,"Not Implemented - Planned")</f>
        <v>0</v>
      </c>
      <c r="Q59" s="58">
        <f t="shared" si="7"/>
        <v>0</v>
      </c>
      <c r="R59" s="59">
        <f>COUNTIFS('Self-Assessment_Cases'!$E$4:$E$657,"IA-9",'Self-Assessment_Cases'!$I4:$I657,"Not Implemented - Unplanned")</f>
        <v>0</v>
      </c>
      <c r="S59" s="59">
        <f t="shared" si="8"/>
        <v>0</v>
      </c>
      <c r="T59" s="60">
        <f>COUNTIFS('Self-Assessment_Cases'!$E$4:$E$657,"IA-9",'Self-Assessment_Cases'!$I4:$I657,"Not Applicable")</f>
        <v>0</v>
      </c>
      <c r="U59" s="61"/>
      <c r="V59" s="68" t="e">
        <f t="shared" si="9"/>
        <v>#REF!</v>
      </c>
      <c r="W59" s="44" t="e">
        <f t="shared" si="10"/>
        <v>#REF!</v>
      </c>
    </row>
    <row r="60" spans="1:23" x14ac:dyDescent="0.2">
      <c r="A60" s="45" t="s">
        <v>1498</v>
      </c>
      <c r="B60" s="46" t="e">
        <f>COUNTIF('Self-Assessment_Cases'!#REF!,"*"&amp;A60&amp;"*")</f>
        <v>#REF!</v>
      </c>
      <c r="C60" s="63" t="e">
        <f t="shared" si="0"/>
        <v>#REF!</v>
      </c>
      <c r="D60" s="47">
        <f>COUNTIFS('Self-Assessment_Cases'!$E$4:$E$657,"IR-1",'Self-Assessment_Cases'!$I4:$I657,"In Progress - Administrative")</f>
        <v>0</v>
      </c>
      <c r="E60" s="64">
        <f t="shared" si="1"/>
        <v>0</v>
      </c>
      <c r="F60" s="62">
        <f>COUNTIFS('Self-Assessment_Cases'!$E$4:$E$657,"IR-1",'Self-Assessment_Cases'!$I4:$I657,"In Progress - Configuration")</f>
        <v>0</v>
      </c>
      <c r="G60" s="65">
        <f t="shared" si="2"/>
        <v>0</v>
      </c>
      <c r="H60" s="48">
        <f>COUNTIFS('Self-Assessment_Cases'!$E$4:$E$657,"IR-1",'Self-Assessment_Cases'!$I4:$I657,"In Progress - Installation/Upgrade")</f>
        <v>0</v>
      </c>
      <c r="I60" s="66">
        <f t="shared" si="3"/>
        <v>0</v>
      </c>
      <c r="J60" s="49">
        <f>COUNTIFS('Self-Assessment_Cases'!$E$4:$E$657,"IR-1",'Self-Assessment_Cases'!$I4:$I657,"Not Implemented - Compensating Control")</f>
        <v>0</v>
      </c>
      <c r="K60" s="67">
        <f t="shared" si="4"/>
        <v>0</v>
      </c>
      <c r="L60" s="50">
        <f>COUNTIFS('Self-Assessment_Cases'!$E$4:$E$657,"IR-1",'Self-Assessment_Cases'!$I4:$I657,"Not Implemented - Risk Negligible")</f>
        <v>0</v>
      </c>
      <c r="M60" s="56">
        <f t="shared" si="5"/>
        <v>0</v>
      </c>
      <c r="N60" s="57">
        <f>COUNTIFS('Self-Assessment_Cases'!$E$4:$E$657,"IR-1",'Self-Assessment_Cases'!$I4:$I657,"Not Implemented - Risk Accepted")</f>
        <v>0</v>
      </c>
      <c r="O60" s="57">
        <f t="shared" si="6"/>
        <v>0</v>
      </c>
      <c r="P60" s="58">
        <f>COUNTIFS('Self-Assessment_Cases'!$E$4:$E$657,"IR-1",'Self-Assessment_Cases'!$I4:$I657,"Not Implemented - Planned")</f>
        <v>0</v>
      </c>
      <c r="Q60" s="58">
        <f t="shared" si="7"/>
        <v>0</v>
      </c>
      <c r="R60" s="59">
        <f>COUNTIFS('Self-Assessment_Cases'!$E$4:$E$657,"IR-1",'Self-Assessment_Cases'!$I4:$I657,"Not Implemented - Unplanned")</f>
        <v>0</v>
      </c>
      <c r="S60" s="59">
        <f t="shared" si="8"/>
        <v>0</v>
      </c>
      <c r="T60" s="60">
        <f>COUNTIFS('Self-Assessment_Cases'!$E$4:$E$657,"IR-1",'Self-Assessment_Cases'!$I4:$I657,"Not Applicable")</f>
        <v>0</v>
      </c>
      <c r="U60" s="61"/>
      <c r="V60" s="68" t="e">
        <f t="shared" si="9"/>
        <v>#REF!</v>
      </c>
      <c r="W60" s="44" t="e">
        <f t="shared" si="10"/>
        <v>#REF!</v>
      </c>
    </row>
    <row r="61" spans="1:23" ht="15" customHeight="1" x14ac:dyDescent="0.2">
      <c r="A61" s="45" t="s">
        <v>1499</v>
      </c>
      <c r="B61" s="46" t="e">
        <f>COUNTIF('Self-Assessment_Cases'!#REF!,"*"&amp;A61&amp;"*")</f>
        <v>#REF!</v>
      </c>
      <c r="C61" s="63" t="e">
        <f t="shared" si="0"/>
        <v>#REF!</v>
      </c>
      <c r="D61" s="47">
        <f>COUNTIFS('Self-Assessment_Cases'!$E$4:$E$657,"IR-3",'Self-Assessment_Cases'!$I4:$I657,"In Progress - Administrative")</f>
        <v>0</v>
      </c>
      <c r="E61" s="64">
        <f t="shared" si="1"/>
        <v>0</v>
      </c>
      <c r="F61" s="62">
        <f>COUNTIFS('Self-Assessment_Cases'!$E$4:$E$657,"IR-3",'Self-Assessment_Cases'!$I4:$I657,"In Progress - Configuration")</f>
        <v>0</v>
      </c>
      <c r="G61" s="65">
        <f t="shared" si="2"/>
        <v>0</v>
      </c>
      <c r="H61" s="48">
        <f>COUNTIFS('Self-Assessment_Cases'!$E$4:$E$657,"IR-3",'Self-Assessment_Cases'!$I4:$I657,"In Progress - Installation/Upgrade")</f>
        <v>0</v>
      </c>
      <c r="I61" s="66">
        <f t="shared" si="3"/>
        <v>0</v>
      </c>
      <c r="J61" s="49">
        <f>COUNTIFS('Self-Assessment_Cases'!$E$4:$E$657,"IR-3",'Self-Assessment_Cases'!$I4:$I657,"Not Implemented - Compensating Control")</f>
        <v>0</v>
      </c>
      <c r="K61" s="67">
        <f t="shared" si="4"/>
        <v>0</v>
      </c>
      <c r="L61" s="50">
        <f>COUNTIFS('Self-Assessment_Cases'!$E$4:$E$657,"IR-3",'Self-Assessment_Cases'!$I4:$I657,"Not Implemented - Risk Negligible")</f>
        <v>0</v>
      </c>
      <c r="M61" s="56">
        <f t="shared" si="5"/>
        <v>0</v>
      </c>
      <c r="N61" s="57">
        <f>COUNTIFS('Self-Assessment_Cases'!$E$4:$E$657,"IR-3",'Self-Assessment_Cases'!$I4:$I657,"Not Implemented - Risk Accepted")</f>
        <v>0</v>
      </c>
      <c r="O61" s="57">
        <f t="shared" si="6"/>
        <v>0</v>
      </c>
      <c r="P61" s="58">
        <f>COUNTIFS('Self-Assessment_Cases'!$E$4:$E$657,"IR-3",'Self-Assessment_Cases'!$I4:$I657,"Not Implemented - Planned")</f>
        <v>0</v>
      </c>
      <c r="Q61" s="58">
        <f t="shared" si="7"/>
        <v>0</v>
      </c>
      <c r="R61" s="59">
        <f>COUNTIFS('Self-Assessment_Cases'!$E$4:$E$657,"IR-3",'Self-Assessment_Cases'!$I4:$I657,"Not Implemented - Unplanned")</f>
        <v>0</v>
      </c>
      <c r="S61" s="59">
        <f t="shared" si="8"/>
        <v>0</v>
      </c>
      <c r="T61" s="60">
        <f>COUNTIFS('Self-Assessment_Cases'!$E$4:$E$657,"IR-3",'Self-Assessment_Cases'!$I4:$I657,"Not Applicable")</f>
        <v>0</v>
      </c>
      <c r="U61" s="61"/>
      <c r="V61" s="68" t="e">
        <f t="shared" si="9"/>
        <v>#REF!</v>
      </c>
      <c r="W61" s="44" t="e">
        <f t="shared" si="10"/>
        <v>#REF!</v>
      </c>
    </row>
    <row r="62" spans="1:23" ht="15" customHeight="1" x14ac:dyDescent="0.2">
      <c r="A62" s="45" t="s">
        <v>1500</v>
      </c>
      <c r="B62" s="46" t="e">
        <f>COUNTIF('Self-Assessment_Cases'!#REF!,"*"&amp;A62&amp;"*")</f>
        <v>#REF!</v>
      </c>
      <c r="C62" s="63" t="e">
        <f t="shared" si="0"/>
        <v>#REF!</v>
      </c>
      <c r="D62" s="47">
        <f>COUNTIFS('Self-Assessment_Cases'!$E$4:$E$657,"IR-4",'Self-Assessment_Cases'!$I4:$I657,"In Progress - Administrative")</f>
        <v>0</v>
      </c>
      <c r="E62" s="64">
        <f t="shared" si="1"/>
        <v>0</v>
      </c>
      <c r="F62" s="62">
        <f>COUNTIFS('Self-Assessment_Cases'!$E$4:$E$657,"IR-4",'Self-Assessment_Cases'!$I4:$I657,"In Progress - Configuration")</f>
        <v>0</v>
      </c>
      <c r="G62" s="65">
        <f t="shared" si="2"/>
        <v>0</v>
      </c>
      <c r="H62" s="48">
        <f>COUNTIFS('Self-Assessment_Cases'!$E$4:$E$657,"IR-4",'Self-Assessment_Cases'!$I4:$I657,"In Progress - Installation/Upgrade")</f>
        <v>0</v>
      </c>
      <c r="I62" s="66">
        <f t="shared" si="3"/>
        <v>0</v>
      </c>
      <c r="J62" s="49">
        <f>COUNTIFS('Self-Assessment_Cases'!$E$4:$E$657,"IR-4",'Self-Assessment_Cases'!$I4:$I657,"Not Implemented - Compensating Control")</f>
        <v>0</v>
      </c>
      <c r="K62" s="67">
        <f t="shared" si="4"/>
        <v>0</v>
      </c>
      <c r="L62" s="50">
        <f>COUNTIFS('Self-Assessment_Cases'!$E$4:$E$657,"IR-4",'Self-Assessment_Cases'!$I4:$I657,"Not Implemented - Risk Negligible")</f>
        <v>0</v>
      </c>
      <c r="M62" s="56">
        <f t="shared" si="5"/>
        <v>0</v>
      </c>
      <c r="N62" s="57">
        <f>COUNTIFS('Self-Assessment_Cases'!$E$4:$E$657,"IR-4",'Self-Assessment_Cases'!$I4:$I657,"Not Implemented - Risk Accepted")</f>
        <v>0</v>
      </c>
      <c r="O62" s="57">
        <f t="shared" si="6"/>
        <v>0</v>
      </c>
      <c r="P62" s="58">
        <f>COUNTIFS('Self-Assessment_Cases'!$E$4:$E$657,"IR-4",'Self-Assessment_Cases'!$I4:$I657,"Not Implemented - Planned")</f>
        <v>0</v>
      </c>
      <c r="Q62" s="58">
        <f t="shared" si="7"/>
        <v>0</v>
      </c>
      <c r="R62" s="59">
        <f>COUNTIFS('Self-Assessment_Cases'!$E$4:$E$657,"IR-4",'Self-Assessment_Cases'!$I4:$I657,"Not Implemented - Unplanned")</f>
        <v>0</v>
      </c>
      <c r="S62" s="59">
        <f t="shared" si="8"/>
        <v>0</v>
      </c>
      <c r="T62" s="60">
        <f>COUNTIFS('Self-Assessment_Cases'!$E$4:$E$657,"IR-4",'Self-Assessment_Cases'!$I4:$I657,"Not Applicable")</f>
        <v>0</v>
      </c>
      <c r="U62" s="61"/>
      <c r="V62" s="68" t="e">
        <f t="shared" si="9"/>
        <v>#REF!</v>
      </c>
      <c r="W62" s="44" t="e">
        <f t="shared" si="10"/>
        <v>#REF!</v>
      </c>
    </row>
    <row r="63" spans="1:23" x14ac:dyDescent="0.2">
      <c r="A63" s="45" t="s">
        <v>1501</v>
      </c>
      <c r="B63" s="46" t="e">
        <f>COUNTIF('Self-Assessment_Cases'!#REF!,"*"&amp;A63&amp;"*")</f>
        <v>#REF!</v>
      </c>
      <c r="C63" s="63" t="e">
        <f t="shared" si="0"/>
        <v>#REF!</v>
      </c>
      <c r="D63" s="47">
        <f>COUNTIFS('Self-Assessment_Cases'!$E$4:$E$657,"IR-5",'Self-Assessment_Cases'!$I4:$I657,"In Progress - Administrative")</f>
        <v>0</v>
      </c>
      <c r="E63" s="64">
        <f t="shared" si="1"/>
        <v>0</v>
      </c>
      <c r="F63" s="62">
        <f>COUNTIFS('Self-Assessment_Cases'!$E$4:$E$657,"IR-5",'Self-Assessment_Cases'!$I4:$I657,"In Progress - Configuration")</f>
        <v>0</v>
      </c>
      <c r="G63" s="65">
        <f t="shared" si="2"/>
        <v>0</v>
      </c>
      <c r="H63" s="48">
        <f>COUNTIFS('Self-Assessment_Cases'!$E$4:$E$657,"IR-5",'Self-Assessment_Cases'!$I4:$I657,"In Progress - Installation/Upgrade")</f>
        <v>0</v>
      </c>
      <c r="I63" s="66">
        <f t="shared" si="3"/>
        <v>0</v>
      </c>
      <c r="J63" s="49">
        <f>COUNTIFS('Self-Assessment_Cases'!$E$4:$E$657,"IR-5",'Self-Assessment_Cases'!$I4:$I657,"Not Implemented - Compensating Control")</f>
        <v>0</v>
      </c>
      <c r="K63" s="67">
        <f t="shared" si="4"/>
        <v>0</v>
      </c>
      <c r="L63" s="50">
        <f>COUNTIFS('Self-Assessment_Cases'!$E$4:$E$657,"IR-5",'Self-Assessment_Cases'!$I4:$I657,"Not Implemented - Risk Negligible")</f>
        <v>0</v>
      </c>
      <c r="M63" s="56">
        <f t="shared" si="5"/>
        <v>0</v>
      </c>
      <c r="N63" s="57">
        <f>COUNTIFS('Self-Assessment_Cases'!$E$4:$E$657,"IR-5",'Self-Assessment_Cases'!$I4:$I657,"Not Implemented - Risk Accepted")</f>
        <v>0</v>
      </c>
      <c r="O63" s="57">
        <f t="shared" si="6"/>
        <v>0</v>
      </c>
      <c r="P63" s="58">
        <f>COUNTIFS('Self-Assessment_Cases'!$E$4:$E$657,"IR-5",'Self-Assessment_Cases'!$I4:$I657,"Not Implemented - Planned")</f>
        <v>0</v>
      </c>
      <c r="Q63" s="58">
        <f t="shared" si="7"/>
        <v>0</v>
      </c>
      <c r="R63" s="59">
        <f>COUNTIFS('Self-Assessment_Cases'!$E$4:$E$657,"IR-5",'Self-Assessment_Cases'!$I4:$I657,"Not Implemented - Unplanned")</f>
        <v>0</v>
      </c>
      <c r="S63" s="59">
        <f t="shared" si="8"/>
        <v>0</v>
      </c>
      <c r="T63" s="60">
        <f>COUNTIFS('Self-Assessment_Cases'!$E$4:$E$657,"IR-5",'Self-Assessment_Cases'!$I4:$I657,"Not Applicable")</f>
        <v>0</v>
      </c>
      <c r="U63" s="61"/>
      <c r="V63" s="68" t="e">
        <f t="shared" si="9"/>
        <v>#REF!</v>
      </c>
      <c r="W63" s="44" t="e">
        <f t="shared" si="10"/>
        <v>#REF!</v>
      </c>
    </row>
    <row r="64" spans="1:23" x14ac:dyDescent="0.2">
      <c r="A64" s="45" t="s">
        <v>1502</v>
      </c>
      <c r="B64" s="46" t="e">
        <f>COUNTIF('Self-Assessment_Cases'!#REF!,"*"&amp;A64&amp;"*")</f>
        <v>#REF!</v>
      </c>
      <c r="C64" s="63" t="e">
        <f t="shared" si="0"/>
        <v>#REF!</v>
      </c>
      <c r="D64" s="47">
        <f>COUNTIFS('Self-Assessment_Cases'!$E$4:$E$657,"IR-6",'Self-Assessment_Cases'!$I4:$I657,"In Progress - Administrative")</f>
        <v>0</v>
      </c>
      <c r="E64" s="64">
        <f t="shared" si="1"/>
        <v>0</v>
      </c>
      <c r="F64" s="62">
        <f>COUNTIFS('Self-Assessment_Cases'!$E$4:$E$657,"IR-6",'Self-Assessment_Cases'!$I4:$I657,"In Progress - Configuration")</f>
        <v>0</v>
      </c>
      <c r="G64" s="65">
        <f t="shared" si="2"/>
        <v>0</v>
      </c>
      <c r="H64" s="48">
        <f>COUNTIFS('Self-Assessment_Cases'!$E$4:$E$657,"IR-6",'Self-Assessment_Cases'!$I4:$I657,"In Progress - Installation/Upgrade")</f>
        <v>0</v>
      </c>
      <c r="I64" s="66">
        <f t="shared" si="3"/>
        <v>0</v>
      </c>
      <c r="J64" s="49">
        <f>COUNTIFS('Self-Assessment_Cases'!$E$4:$E$657,"IR-6",'Self-Assessment_Cases'!$I4:$I657,"Not Implemented - Compensating Control")</f>
        <v>0</v>
      </c>
      <c r="K64" s="67">
        <f t="shared" si="4"/>
        <v>0</v>
      </c>
      <c r="L64" s="50">
        <f>COUNTIFS('Self-Assessment_Cases'!$E$4:$E$657,"IR-6",'Self-Assessment_Cases'!$I4:$I657,"Not Implemented - Risk Negligible")</f>
        <v>0</v>
      </c>
      <c r="M64" s="56">
        <f t="shared" si="5"/>
        <v>0</v>
      </c>
      <c r="N64" s="57">
        <f>COUNTIFS('Self-Assessment_Cases'!$E$4:$E$657,"IR-6",'Self-Assessment_Cases'!$I4:$I657,"Not Implemented - Risk Accepted")</f>
        <v>0</v>
      </c>
      <c r="O64" s="57">
        <f t="shared" si="6"/>
        <v>0</v>
      </c>
      <c r="P64" s="58">
        <f>COUNTIFS('Self-Assessment_Cases'!$E$4:$E$657,"IR-6",'Self-Assessment_Cases'!$I4:$I657,"Not Implemented - Planned")</f>
        <v>0</v>
      </c>
      <c r="Q64" s="58">
        <f t="shared" si="7"/>
        <v>0</v>
      </c>
      <c r="R64" s="59">
        <f>COUNTIFS('Self-Assessment_Cases'!$E$4:$E$657,"IR-6",'Self-Assessment_Cases'!$I4:$I657,"Not Implemented - Unplanned")</f>
        <v>0</v>
      </c>
      <c r="S64" s="59">
        <f t="shared" si="8"/>
        <v>0</v>
      </c>
      <c r="T64" s="60">
        <f>COUNTIFS('Self-Assessment_Cases'!$E$4:$E$657,"IR-6",'Self-Assessment_Cases'!$I4:$I657,"Not Applicable")</f>
        <v>0</v>
      </c>
      <c r="U64" s="61"/>
      <c r="V64" s="68" t="e">
        <f t="shared" si="9"/>
        <v>#REF!</v>
      </c>
      <c r="W64" s="44" t="e">
        <f t="shared" si="10"/>
        <v>#REF!</v>
      </c>
    </row>
    <row r="65" spans="1:23" ht="15" customHeight="1" x14ac:dyDescent="0.2">
      <c r="A65" s="45" t="s">
        <v>1503</v>
      </c>
      <c r="B65" s="46" t="e">
        <f>COUNTIF('Self-Assessment_Cases'!#REF!,"*"&amp;A65&amp;"*")</f>
        <v>#REF!</v>
      </c>
      <c r="C65" s="63" t="e">
        <f t="shared" si="0"/>
        <v>#REF!</v>
      </c>
      <c r="D65" s="47">
        <f>COUNTIFS('Self-Assessment_Cases'!$E$4:$E$657,"IR-8",'Self-Assessment_Cases'!$I4:$I657,"In Progress - Administrative")</f>
        <v>0</v>
      </c>
      <c r="E65" s="64">
        <f t="shared" si="1"/>
        <v>0</v>
      </c>
      <c r="F65" s="62">
        <f>COUNTIFS('Self-Assessment_Cases'!$E$4:$E$657,"IR-8",'Self-Assessment_Cases'!$I4:$I657,"In Progress - Configuration")</f>
        <v>0</v>
      </c>
      <c r="G65" s="65">
        <f t="shared" si="2"/>
        <v>0</v>
      </c>
      <c r="H65" s="48">
        <f>COUNTIFS('Self-Assessment_Cases'!$E$4:$E$657,"IR-8",'Self-Assessment_Cases'!$I4:$I657,"In Progress - Installation/Upgrade")</f>
        <v>0</v>
      </c>
      <c r="I65" s="66">
        <f t="shared" si="3"/>
        <v>0</v>
      </c>
      <c r="J65" s="49">
        <f>COUNTIFS('Self-Assessment_Cases'!$E$4:$E$657,"IR-8",'Self-Assessment_Cases'!$I4:$I657,"Not Implemented - Compensating Control")</f>
        <v>0</v>
      </c>
      <c r="K65" s="67">
        <f t="shared" si="4"/>
        <v>0</v>
      </c>
      <c r="L65" s="50">
        <f>COUNTIFS('Self-Assessment_Cases'!$E$4:$E$657,"IR-8",'Self-Assessment_Cases'!$I4:$I657,"Not Implemented - Risk Negligible")</f>
        <v>0</v>
      </c>
      <c r="M65" s="56">
        <f t="shared" si="5"/>
        <v>0</v>
      </c>
      <c r="N65" s="57">
        <f>COUNTIFS('Self-Assessment_Cases'!$E$4:$E$657,"IR-8",'Self-Assessment_Cases'!$I4:$I657,"Not Implemented - Risk Accepted")</f>
        <v>0</v>
      </c>
      <c r="O65" s="57">
        <f t="shared" si="6"/>
        <v>0</v>
      </c>
      <c r="P65" s="58">
        <f>COUNTIFS('Self-Assessment_Cases'!$E$4:$E$657,"IR-8",'Self-Assessment_Cases'!$I4:$I657,"Not Implemented - Planned")</f>
        <v>0</v>
      </c>
      <c r="Q65" s="58">
        <f t="shared" si="7"/>
        <v>0</v>
      </c>
      <c r="R65" s="59">
        <f>COUNTIFS('Self-Assessment_Cases'!$E$4:$E$657,"IR-8",'Self-Assessment_Cases'!$I4:$I657,"Not Implemented - Unplanned")</f>
        <v>0</v>
      </c>
      <c r="S65" s="59">
        <f t="shared" si="8"/>
        <v>0</v>
      </c>
      <c r="T65" s="60">
        <f>COUNTIFS('Self-Assessment_Cases'!$E$4:$E$657,"IR-8",'Self-Assessment_Cases'!$I4:$I657,"Not Applicable")</f>
        <v>0</v>
      </c>
      <c r="U65" s="61"/>
      <c r="V65" s="68" t="e">
        <f t="shared" si="9"/>
        <v>#REF!</v>
      </c>
      <c r="W65" s="44" t="e">
        <f t="shared" si="10"/>
        <v>#REF!</v>
      </c>
    </row>
    <row r="66" spans="1:23" ht="15" customHeight="1" x14ac:dyDescent="0.2">
      <c r="A66" s="45" t="s">
        <v>1504</v>
      </c>
      <c r="B66" s="46" t="e">
        <f>COUNTIF('Self-Assessment_Cases'!#REF!,"*"&amp;A66&amp;"*")</f>
        <v>#REF!</v>
      </c>
      <c r="C66" s="63" t="e">
        <f t="shared" si="0"/>
        <v>#REF!</v>
      </c>
      <c r="D66" s="47">
        <f>COUNTIFS('Self-Assessment_Cases'!$E$4:$E$657,"MA-1",'Self-Assessment_Cases'!$I4:$I657,"In Progress - Administrative")</f>
        <v>0</v>
      </c>
      <c r="E66" s="64">
        <f t="shared" si="1"/>
        <v>0</v>
      </c>
      <c r="F66" s="62">
        <f>COUNTIFS('Self-Assessment_Cases'!$E$4:$E$657,"MA-1",'Self-Assessment_Cases'!$I4:$I657,"In Progress - Configuration")</f>
        <v>0</v>
      </c>
      <c r="G66" s="65">
        <f t="shared" si="2"/>
        <v>0</v>
      </c>
      <c r="H66" s="48">
        <f>COUNTIFS('Self-Assessment_Cases'!$E$4:$E$657,"MA-1",'Self-Assessment_Cases'!$I4:$I657,"In Progress - Installation/Upgrade")</f>
        <v>0</v>
      </c>
      <c r="I66" s="66">
        <f t="shared" si="3"/>
        <v>0</v>
      </c>
      <c r="J66" s="49">
        <f>COUNTIFS('Self-Assessment_Cases'!$E$4:$E$657,"MA-1",'Self-Assessment_Cases'!$I4:$I657,"Not Implemented - Compensating Control")</f>
        <v>0</v>
      </c>
      <c r="K66" s="67">
        <f t="shared" si="4"/>
        <v>0</v>
      </c>
      <c r="L66" s="50">
        <f>COUNTIFS('Self-Assessment_Cases'!$E$4:$E$657,"MA-1",'Self-Assessment_Cases'!$I4:$I657,"Not Implemented - Risk Negligible")</f>
        <v>0</v>
      </c>
      <c r="M66" s="56">
        <f t="shared" si="5"/>
        <v>0</v>
      </c>
      <c r="N66" s="57">
        <f>COUNTIFS('Self-Assessment_Cases'!$E$4:$E$657,"MA-1",'Self-Assessment_Cases'!$I4:$I657,"Not Implemented - Risk Accepted")</f>
        <v>0</v>
      </c>
      <c r="O66" s="57">
        <f t="shared" si="6"/>
        <v>0</v>
      </c>
      <c r="P66" s="58">
        <f>COUNTIFS('Self-Assessment_Cases'!$E$4:$E$657,"MA-1",'Self-Assessment_Cases'!$I4:$I657,"Not Implemented - Planned")</f>
        <v>0</v>
      </c>
      <c r="Q66" s="58">
        <f t="shared" si="7"/>
        <v>0</v>
      </c>
      <c r="R66" s="59">
        <f>COUNTIFS('Self-Assessment_Cases'!$E$4:$E$657,"MA-1",'Self-Assessment_Cases'!$I4:$I657,"Not Implemented - Unplanned")</f>
        <v>0</v>
      </c>
      <c r="S66" s="59">
        <f t="shared" si="8"/>
        <v>0</v>
      </c>
      <c r="T66" s="60">
        <f>COUNTIFS('Self-Assessment_Cases'!$E$4:$E$657,"MA-1",'Self-Assessment_Cases'!$I4:$I657,"Not Applicable")</f>
        <v>0</v>
      </c>
      <c r="U66" s="61"/>
      <c r="V66" s="68" t="e">
        <f t="shared" si="9"/>
        <v>#REF!</v>
      </c>
      <c r="W66" s="44" t="e">
        <f t="shared" si="10"/>
        <v>#REF!</v>
      </c>
    </row>
    <row r="67" spans="1:23" ht="15" customHeight="1" x14ac:dyDescent="0.2">
      <c r="A67" s="45" t="s">
        <v>1505</v>
      </c>
      <c r="B67" s="46" t="e">
        <f>COUNTIF('Self-Assessment_Cases'!#REF!,"*"&amp;A67&amp;"*")</f>
        <v>#REF!</v>
      </c>
      <c r="C67" s="63" t="e">
        <f t="shared" ref="C67:C130" si="11">B67*5</f>
        <v>#REF!</v>
      </c>
      <c r="D67" s="47">
        <f>COUNTIFS('Self-Assessment_Cases'!$E$4:$E$657,"MA-2",'Self-Assessment_Cases'!$I4:$I657,"In Progress - Administrative")</f>
        <v>0</v>
      </c>
      <c r="E67" s="64">
        <f t="shared" ref="E67:E130" si="12">D67*3</f>
        <v>0</v>
      </c>
      <c r="F67" s="62">
        <f>COUNTIFS('Self-Assessment_Cases'!$E$4:$E$657,"MA-2",'Self-Assessment_Cases'!$I4:$I657,"In Progress - Configuration")</f>
        <v>0</v>
      </c>
      <c r="G67" s="65">
        <f t="shared" ref="G67:G130" si="13">F67*3</f>
        <v>0</v>
      </c>
      <c r="H67" s="48">
        <f>COUNTIFS('Self-Assessment_Cases'!$E$4:$E$657,"MA-2",'Self-Assessment_Cases'!$I4:$I657,"In Progress - Installation/Upgrade")</f>
        <v>0</v>
      </c>
      <c r="I67" s="66">
        <f t="shared" ref="I67:I130" si="14">H67*3</f>
        <v>0</v>
      </c>
      <c r="J67" s="49">
        <f>COUNTIFS('Self-Assessment_Cases'!$E$4:$E$657,"MA-2",'Self-Assessment_Cases'!$I4:$I657,"Not Implemented - Compensating Control")</f>
        <v>0</v>
      </c>
      <c r="K67" s="67">
        <f t="shared" ref="K67:K130" si="15">J67*5</f>
        <v>0</v>
      </c>
      <c r="L67" s="50">
        <f>COUNTIFS('Self-Assessment_Cases'!$E$4:$E$657,"MA-2",'Self-Assessment_Cases'!$I4:$I657,"Not Implemented - Risk Negligible")</f>
        <v>0</v>
      </c>
      <c r="M67" s="56">
        <f t="shared" ref="M67:M130" si="16">L67*5</f>
        <v>0</v>
      </c>
      <c r="N67" s="57">
        <f>COUNTIFS('Self-Assessment_Cases'!$E$4:$E$657,"MA-2",'Self-Assessment_Cases'!$I4:$I657,"Not Implemented - Risk Accepted")</f>
        <v>0</v>
      </c>
      <c r="O67" s="57">
        <f t="shared" ref="O67:O130" si="17">N67</f>
        <v>0</v>
      </c>
      <c r="P67" s="58">
        <f>COUNTIFS('Self-Assessment_Cases'!$E$4:$E$657,"MA-2",'Self-Assessment_Cases'!$I4:$I657,"Not Implemented - Planned")</f>
        <v>0</v>
      </c>
      <c r="Q67" s="58">
        <f t="shared" ref="Q67:Q130" si="18">P67</f>
        <v>0</v>
      </c>
      <c r="R67" s="59">
        <f>COUNTIFS('Self-Assessment_Cases'!$E$4:$E$657,"MA-2",'Self-Assessment_Cases'!$I4:$I657,"Not Implemented - Unplanned")</f>
        <v>0</v>
      </c>
      <c r="S67" s="59">
        <f t="shared" ref="S67:S130" si="19">R67</f>
        <v>0</v>
      </c>
      <c r="T67" s="60">
        <f>COUNTIFS('Self-Assessment_Cases'!$E$4:$E$657,"MA-2",'Self-Assessment_Cases'!$I4:$I657,"Not Applicable")</f>
        <v>0</v>
      </c>
      <c r="U67" s="61"/>
      <c r="V67" s="68" t="e">
        <f t="shared" ref="V67:V130" si="20">(C67+E67+G67+I67+K67+M67+O67+Q67+S67)/W67</f>
        <v>#REF!</v>
      </c>
      <c r="W67" s="44" t="e">
        <f t="shared" ref="W67:W130" si="21">(B67+D67+F67+H67+J67+L67+N67+P67+R67)*5</f>
        <v>#REF!</v>
      </c>
    </row>
    <row r="68" spans="1:23" ht="15" customHeight="1" x14ac:dyDescent="0.2">
      <c r="A68" s="45" t="s">
        <v>1506</v>
      </c>
      <c r="B68" s="46" t="e">
        <f>COUNTIF('Self-Assessment_Cases'!#REF!,"*"&amp;A68&amp;"*")</f>
        <v>#REF!</v>
      </c>
      <c r="C68" s="63" t="e">
        <f t="shared" si="11"/>
        <v>#REF!</v>
      </c>
      <c r="D68" s="47">
        <f>COUNTIFS('Self-Assessment_Cases'!$E$4:$E$657,"MA-3",'Self-Assessment_Cases'!$I4:$I657,"In Progress - Administrative")</f>
        <v>0</v>
      </c>
      <c r="E68" s="64">
        <f t="shared" si="12"/>
        <v>0</v>
      </c>
      <c r="F68" s="62">
        <f>COUNTIFS('Self-Assessment_Cases'!$E$4:$E$657,"MA-3",'Self-Assessment_Cases'!$I4:$I657,"In Progress - Configuration")</f>
        <v>0</v>
      </c>
      <c r="G68" s="65">
        <f t="shared" si="13"/>
        <v>0</v>
      </c>
      <c r="H68" s="48">
        <f>COUNTIFS('Self-Assessment_Cases'!$E$4:$E$657,"MA-3",'Self-Assessment_Cases'!$I4:$I657,"In Progress - Installation/Upgrade")</f>
        <v>0</v>
      </c>
      <c r="I68" s="66">
        <f t="shared" si="14"/>
        <v>0</v>
      </c>
      <c r="J68" s="49">
        <f>COUNTIFS('Self-Assessment_Cases'!$E$4:$E$657,"MA-3",'Self-Assessment_Cases'!$I4:$I657,"Not Implemented - Compensating Control")</f>
        <v>0</v>
      </c>
      <c r="K68" s="67">
        <f t="shared" si="15"/>
        <v>0</v>
      </c>
      <c r="L68" s="50">
        <f>COUNTIFS('Self-Assessment_Cases'!$E$4:$E$657,"MA-3",'Self-Assessment_Cases'!$I4:$I657,"Not Implemented - Risk Negligible")</f>
        <v>0</v>
      </c>
      <c r="M68" s="56">
        <f t="shared" si="16"/>
        <v>0</v>
      </c>
      <c r="N68" s="57">
        <f>COUNTIFS('Self-Assessment_Cases'!$E$4:$E$657,"MA-3",'Self-Assessment_Cases'!$I4:$I657,"Not Implemented - Risk Accepted")</f>
        <v>0</v>
      </c>
      <c r="O68" s="57">
        <f t="shared" si="17"/>
        <v>0</v>
      </c>
      <c r="P68" s="58">
        <f>COUNTIFS('Self-Assessment_Cases'!$E$4:$E$657,"MA-3",'Self-Assessment_Cases'!$I4:$I657,"Not Implemented - Planned")</f>
        <v>0</v>
      </c>
      <c r="Q68" s="58">
        <f t="shared" si="18"/>
        <v>0</v>
      </c>
      <c r="R68" s="59">
        <f>COUNTIFS('Self-Assessment_Cases'!$E$4:$E$657,"MA-3",'Self-Assessment_Cases'!$I4:$I657,"Not Implemented - Unplanned")</f>
        <v>0</v>
      </c>
      <c r="S68" s="59">
        <f t="shared" si="19"/>
        <v>0</v>
      </c>
      <c r="T68" s="60">
        <f>COUNTIFS('Self-Assessment_Cases'!$E$4:$E$657,"MA-3",'Self-Assessment_Cases'!$I4:$I657,"Not Applicable")</f>
        <v>0</v>
      </c>
      <c r="U68" s="61"/>
      <c r="V68" s="68" t="e">
        <f t="shared" si="20"/>
        <v>#REF!</v>
      </c>
      <c r="W68" s="44" t="e">
        <f t="shared" si="21"/>
        <v>#REF!</v>
      </c>
    </row>
    <row r="69" spans="1:23" ht="15" customHeight="1" x14ac:dyDescent="0.2">
      <c r="A69" s="45" t="s">
        <v>1446</v>
      </c>
      <c r="B69" s="46" t="e">
        <f>COUNTIF('Self-Assessment_Cases'!#REF!,"*"&amp;A69&amp;"*")</f>
        <v>#REF!</v>
      </c>
      <c r="C69" s="63" t="e">
        <f t="shared" si="11"/>
        <v>#REF!</v>
      </c>
      <c r="D69" s="47">
        <f>COUNTIFS('Self-Assessment_Cases'!$E$4:$E$657,"MA-4",'Self-Assessment_Cases'!$I4:$I657,"In Progress - Administrative")</f>
        <v>0</v>
      </c>
      <c r="E69" s="64">
        <f t="shared" si="12"/>
        <v>0</v>
      </c>
      <c r="F69" s="62">
        <f>COUNTIFS('Self-Assessment_Cases'!$E$4:$E$657,"MA-4",'Self-Assessment_Cases'!$I4:$I657,"In Progress - Configuration")</f>
        <v>0</v>
      </c>
      <c r="G69" s="65">
        <f t="shared" si="13"/>
        <v>0</v>
      </c>
      <c r="H69" s="48">
        <f>COUNTIFS('Self-Assessment_Cases'!$E$4:$E$657,"MA-4",'Self-Assessment_Cases'!$I4:$I657,"In Progress - Installation/Upgrade")</f>
        <v>0</v>
      </c>
      <c r="I69" s="66">
        <f t="shared" si="14"/>
        <v>0</v>
      </c>
      <c r="J69" s="49">
        <f>COUNTIFS('Self-Assessment_Cases'!$E$4:$E$657,"MA-4",'Self-Assessment_Cases'!$I4:$I657,"Not Implemented - Compensating Control")</f>
        <v>0</v>
      </c>
      <c r="K69" s="67">
        <f t="shared" si="15"/>
        <v>0</v>
      </c>
      <c r="L69" s="50">
        <f>COUNTIFS('Self-Assessment_Cases'!$E$4:$E$657,"MA-4",'Self-Assessment_Cases'!$I4:$I657,"Not Implemented - Risk Negligible")</f>
        <v>0</v>
      </c>
      <c r="M69" s="56">
        <f t="shared" si="16"/>
        <v>0</v>
      </c>
      <c r="N69" s="57">
        <f>COUNTIFS('Self-Assessment_Cases'!$E$4:$E$657,"MA-4",'Self-Assessment_Cases'!$I4:$I657,"Not Implemented - Risk Accepted")</f>
        <v>0</v>
      </c>
      <c r="O69" s="57">
        <f t="shared" si="17"/>
        <v>0</v>
      </c>
      <c r="P69" s="58">
        <f>COUNTIFS('Self-Assessment_Cases'!$E$4:$E$657,"MA-4",'Self-Assessment_Cases'!$I4:$I657,"Not Implemented - Planned")</f>
        <v>0</v>
      </c>
      <c r="Q69" s="58">
        <f t="shared" si="18"/>
        <v>0</v>
      </c>
      <c r="R69" s="59">
        <f>COUNTIFS('Self-Assessment_Cases'!$E$4:$E$657,"MA-4",'Self-Assessment_Cases'!$I4:$I657,"Not Implemented - Unplanned")</f>
        <v>0</v>
      </c>
      <c r="S69" s="59">
        <f t="shared" si="19"/>
        <v>0</v>
      </c>
      <c r="T69" s="60">
        <f>COUNTIFS('Self-Assessment_Cases'!$E$4:$E$657,"MA-4",'Self-Assessment_Cases'!$I4:$I657,"Not Applicable")</f>
        <v>0</v>
      </c>
      <c r="U69" s="61"/>
      <c r="V69" s="68" t="e">
        <f t="shared" si="20"/>
        <v>#REF!</v>
      </c>
      <c r="W69" s="44" t="e">
        <f t="shared" si="21"/>
        <v>#REF!</v>
      </c>
    </row>
    <row r="70" spans="1:23" ht="15" customHeight="1" x14ac:dyDescent="0.2">
      <c r="A70" s="45" t="s">
        <v>1444</v>
      </c>
      <c r="B70" s="46" t="e">
        <f>COUNTIF('Self-Assessment_Cases'!#REF!,"*"&amp;A70&amp;"*")</f>
        <v>#REF!</v>
      </c>
      <c r="C70" s="63" t="e">
        <f t="shared" si="11"/>
        <v>#REF!</v>
      </c>
      <c r="D70" s="47">
        <f>COUNTIFS('Self-Assessment_Cases'!$E$4:$E$657,"MA-5",'Self-Assessment_Cases'!$I4:$I657,"In Progress - Administrative")</f>
        <v>0</v>
      </c>
      <c r="E70" s="64">
        <f t="shared" si="12"/>
        <v>0</v>
      </c>
      <c r="F70" s="62">
        <f>COUNTIFS('Self-Assessment_Cases'!$E$4:$E$657,"MA-5",'Self-Assessment_Cases'!$I4:$I657,"In Progress - Configuration")</f>
        <v>0</v>
      </c>
      <c r="G70" s="65">
        <f t="shared" si="13"/>
        <v>0</v>
      </c>
      <c r="H70" s="48">
        <f>COUNTIFS('Self-Assessment_Cases'!$E$4:$E$657,"MA-5",'Self-Assessment_Cases'!$I4:$I657,"In Progress - Installation/Upgrade")</f>
        <v>0</v>
      </c>
      <c r="I70" s="66">
        <f t="shared" si="14"/>
        <v>0</v>
      </c>
      <c r="J70" s="49">
        <f>COUNTIFS('Self-Assessment_Cases'!$E$4:$E$657,"MA-5",'Self-Assessment_Cases'!$I4:$I657,"Not Implemented - Compensating Control")</f>
        <v>0</v>
      </c>
      <c r="K70" s="67">
        <f t="shared" si="15"/>
        <v>0</v>
      </c>
      <c r="L70" s="50">
        <f>COUNTIFS('Self-Assessment_Cases'!$E$4:$E$657,"MA-5",'Self-Assessment_Cases'!$I4:$I657,"Not Implemented - Risk Negligible")</f>
        <v>0</v>
      </c>
      <c r="M70" s="56">
        <f t="shared" si="16"/>
        <v>0</v>
      </c>
      <c r="N70" s="57">
        <f>COUNTIFS('Self-Assessment_Cases'!$E$4:$E$657,"MA-5",'Self-Assessment_Cases'!$I4:$I657,"Not Implemented - Risk Accepted")</f>
        <v>0</v>
      </c>
      <c r="O70" s="57">
        <f t="shared" si="17"/>
        <v>0</v>
      </c>
      <c r="P70" s="58">
        <f>COUNTIFS('Self-Assessment_Cases'!$E$4:$E$657,"MA-5",'Self-Assessment_Cases'!$I4:$I657,"Not Implemented - Planned")</f>
        <v>0</v>
      </c>
      <c r="Q70" s="58">
        <f t="shared" si="18"/>
        <v>0</v>
      </c>
      <c r="R70" s="59">
        <f>COUNTIFS('Self-Assessment_Cases'!$E$4:$E$657,"MA-5",'Self-Assessment_Cases'!$I4:$I657,"Not Implemented - Unplanned")</f>
        <v>0</v>
      </c>
      <c r="S70" s="59">
        <f t="shared" si="19"/>
        <v>0</v>
      </c>
      <c r="T70" s="60">
        <f>COUNTIFS('Self-Assessment_Cases'!$E$4:$E$657,"MA-5",'Self-Assessment_Cases'!$I4:$I657,"Not Applicable")</f>
        <v>0</v>
      </c>
      <c r="U70" s="61"/>
      <c r="V70" s="68" t="e">
        <f t="shared" si="20"/>
        <v>#REF!</v>
      </c>
      <c r="W70" s="44" t="e">
        <f t="shared" si="21"/>
        <v>#REF!</v>
      </c>
    </row>
    <row r="71" spans="1:23" x14ac:dyDescent="0.2">
      <c r="A71" s="45" t="s">
        <v>1445</v>
      </c>
      <c r="B71" s="46" t="e">
        <f>COUNTIF('Self-Assessment_Cases'!#REF!,"*"&amp;A71&amp;"*")</f>
        <v>#REF!</v>
      </c>
      <c r="C71" s="63" t="e">
        <f t="shared" si="11"/>
        <v>#REF!</v>
      </c>
      <c r="D71" s="47">
        <f>COUNTIFS('Self-Assessment_Cases'!$E$4:$E$657,"MP-1",'Self-Assessment_Cases'!$I4:$I657,"In Progress - Administrative")</f>
        <v>0</v>
      </c>
      <c r="E71" s="64">
        <f t="shared" si="12"/>
        <v>0</v>
      </c>
      <c r="F71" s="62">
        <f>COUNTIFS('Self-Assessment_Cases'!$E$4:$E$657,"MP-1",'Self-Assessment_Cases'!$I4:$I657,"In Progress - Configuration")</f>
        <v>0</v>
      </c>
      <c r="G71" s="65">
        <f t="shared" si="13"/>
        <v>0</v>
      </c>
      <c r="H71" s="48">
        <f>COUNTIFS('Self-Assessment_Cases'!$E$4:$E$657,"MP-1",'Self-Assessment_Cases'!$I4:$I657,"In Progress - Installation/Upgrade")</f>
        <v>0</v>
      </c>
      <c r="I71" s="66">
        <f t="shared" si="14"/>
        <v>0</v>
      </c>
      <c r="J71" s="49">
        <f>COUNTIFS('Self-Assessment_Cases'!$E$4:$E$657,"MP-1",'Self-Assessment_Cases'!$I4:$I657,"Not Implemented - Compensating Control")</f>
        <v>0</v>
      </c>
      <c r="K71" s="67">
        <f t="shared" si="15"/>
        <v>0</v>
      </c>
      <c r="L71" s="50">
        <f>COUNTIFS('Self-Assessment_Cases'!$E$4:$E$657,"MP-1",'Self-Assessment_Cases'!$I4:$I657,"Not Implemented - Risk Negligible")</f>
        <v>0</v>
      </c>
      <c r="M71" s="56">
        <f t="shared" si="16"/>
        <v>0</v>
      </c>
      <c r="N71" s="57">
        <f>COUNTIFS('Self-Assessment_Cases'!$E$4:$E$657,"MP-1",'Self-Assessment_Cases'!$I4:$I657,"Not Implemented - Risk Accepted")</f>
        <v>0</v>
      </c>
      <c r="O71" s="57">
        <f t="shared" si="17"/>
        <v>0</v>
      </c>
      <c r="P71" s="58">
        <f>COUNTIFS('Self-Assessment_Cases'!$E$4:$E$657,"MP-1",'Self-Assessment_Cases'!$I4:$I657,"Not Implemented - Planned")</f>
        <v>0</v>
      </c>
      <c r="Q71" s="58">
        <f t="shared" si="18"/>
        <v>0</v>
      </c>
      <c r="R71" s="59">
        <f>COUNTIFS('Self-Assessment_Cases'!$E$4:$E$657,"MP-1",'Self-Assessment_Cases'!$I4:$I657,"Not Implemented - Unplanned")</f>
        <v>0</v>
      </c>
      <c r="S71" s="59">
        <f t="shared" si="19"/>
        <v>0</v>
      </c>
      <c r="T71" s="60">
        <f>COUNTIFS('Self-Assessment_Cases'!$E$4:$E$657,"MP-1",'Self-Assessment_Cases'!$I4:$I657,"Not Applicable")</f>
        <v>0</v>
      </c>
      <c r="U71" s="61"/>
      <c r="V71" s="68" t="e">
        <f t="shared" si="20"/>
        <v>#REF!</v>
      </c>
      <c r="W71" s="44" t="e">
        <f t="shared" si="21"/>
        <v>#REF!</v>
      </c>
    </row>
    <row r="72" spans="1:23" x14ac:dyDescent="0.2">
      <c r="A72" s="45" t="s">
        <v>1507</v>
      </c>
      <c r="B72" s="46" t="e">
        <f>COUNTIF('Self-Assessment_Cases'!#REF!,"*"&amp;A72&amp;"*")</f>
        <v>#REF!</v>
      </c>
      <c r="C72" s="63" t="e">
        <f t="shared" si="11"/>
        <v>#REF!</v>
      </c>
      <c r="D72" s="47">
        <f>COUNTIFS('Self-Assessment_Cases'!$E$4:$E$657,"MP-2",'Self-Assessment_Cases'!$I4:$I657,"In Progress - Administrative")</f>
        <v>0</v>
      </c>
      <c r="E72" s="64">
        <f t="shared" si="12"/>
        <v>0</v>
      </c>
      <c r="F72" s="62">
        <f>COUNTIFS('Self-Assessment_Cases'!$E$4:$E$657,"MP-2",'Self-Assessment_Cases'!$I4:$I657,"In Progress - Configuration")</f>
        <v>0</v>
      </c>
      <c r="G72" s="65">
        <f t="shared" si="13"/>
        <v>0</v>
      </c>
      <c r="H72" s="48">
        <f>COUNTIFS('Self-Assessment_Cases'!$E$4:$E$657,"MP-2",'Self-Assessment_Cases'!$I4:$I657,"In Progress - Installation/Upgrade")</f>
        <v>0</v>
      </c>
      <c r="I72" s="66">
        <f t="shared" si="14"/>
        <v>0</v>
      </c>
      <c r="J72" s="49">
        <f>COUNTIFS('Self-Assessment_Cases'!$E$4:$E$657,"MP-2",'Self-Assessment_Cases'!$I4:$I657,"Not Implemented - Compensating Control")</f>
        <v>0</v>
      </c>
      <c r="K72" s="67">
        <f t="shared" si="15"/>
        <v>0</v>
      </c>
      <c r="L72" s="50">
        <f>COUNTIFS('Self-Assessment_Cases'!$E$4:$E$657,"MP-2",'Self-Assessment_Cases'!$I4:$I657,"Not Implemented - Risk Negligible")</f>
        <v>0</v>
      </c>
      <c r="M72" s="56">
        <f t="shared" si="16"/>
        <v>0</v>
      </c>
      <c r="N72" s="57">
        <f>COUNTIFS('Self-Assessment_Cases'!$E$4:$E$657,"MP-2",'Self-Assessment_Cases'!$I4:$I657,"Not Implemented - Risk Accepted")</f>
        <v>0</v>
      </c>
      <c r="O72" s="57">
        <f t="shared" si="17"/>
        <v>0</v>
      </c>
      <c r="P72" s="58">
        <f>COUNTIFS('Self-Assessment_Cases'!$E$4:$E$657,"MP-2",'Self-Assessment_Cases'!$I4:$I657,"Not Implemented - Planned")</f>
        <v>0</v>
      </c>
      <c r="Q72" s="58">
        <f t="shared" si="18"/>
        <v>0</v>
      </c>
      <c r="R72" s="59">
        <f>COUNTIFS('Self-Assessment_Cases'!$E$4:$E$657,"MP-2",'Self-Assessment_Cases'!$I4:$I657,"Not Implemented - Unplanned")</f>
        <v>0</v>
      </c>
      <c r="S72" s="59">
        <f t="shared" si="19"/>
        <v>0</v>
      </c>
      <c r="T72" s="60">
        <f>COUNTIFS('Self-Assessment_Cases'!$E$4:$E$657,"MP-2",'Self-Assessment_Cases'!$I4:$I657,"Not Applicable")</f>
        <v>0</v>
      </c>
      <c r="U72" s="61"/>
      <c r="V72" s="68" t="e">
        <f t="shared" si="20"/>
        <v>#REF!</v>
      </c>
      <c r="W72" s="44" t="e">
        <f t="shared" si="21"/>
        <v>#REF!</v>
      </c>
    </row>
    <row r="73" spans="1:23" ht="15" customHeight="1" x14ac:dyDescent="0.2">
      <c r="A73" s="45" t="s">
        <v>1508</v>
      </c>
      <c r="B73" s="46" t="e">
        <f>COUNTIF('Self-Assessment_Cases'!#REF!,"*"&amp;A73&amp;"*")</f>
        <v>#REF!</v>
      </c>
      <c r="C73" s="63" t="e">
        <f t="shared" si="11"/>
        <v>#REF!</v>
      </c>
      <c r="D73" s="47">
        <f>COUNTIFS('Self-Assessment_Cases'!$E$4:$E$657,"MP-4",'Self-Assessment_Cases'!$I4:$I657,"In Progress - Administrative")</f>
        <v>0</v>
      </c>
      <c r="E73" s="64">
        <f t="shared" si="12"/>
        <v>0</v>
      </c>
      <c r="F73" s="62">
        <f>COUNTIFS('Self-Assessment_Cases'!$E$4:$E$657,"MP-4",'Self-Assessment_Cases'!$I4:$I657,"In Progress - Configuration")</f>
        <v>0</v>
      </c>
      <c r="G73" s="65">
        <f t="shared" si="13"/>
        <v>0</v>
      </c>
      <c r="H73" s="48">
        <f>COUNTIFS('Self-Assessment_Cases'!$E$4:$E$657,"MP-4",'Self-Assessment_Cases'!$I4:$I657,"In Progress - Installation/Upgrade")</f>
        <v>0</v>
      </c>
      <c r="I73" s="66">
        <f t="shared" si="14"/>
        <v>0</v>
      </c>
      <c r="J73" s="49">
        <f>COUNTIFS('Self-Assessment_Cases'!$E$4:$E$657,"MP-4",'Self-Assessment_Cases'!$I4:$I657,"Not Implemented - Compensating Control")</f>
        <v>0</v>
      </c>
      <c r="K73" s="67">
        <f t="shared" si="15"/>
        <v>0</v>
      </c>
      <c r="L73" s="50">
        <f>COUNTIFS('Self-Assessment_Cases'!$E$4:$E$657,"MP-4",'Self-Assessment_Cases'!$I4:$I657,"Not Implemented - Risk Negligible")</f>
        <v>0</v>
      </c>
      <c r="M73" s="56">
        <f t="shared" si="16"/>
        <v>0</v>
      </c>
      <c r="N73" s="57">
        <f>COUNTIFS('Self-Assessment_Cases'!$E$4:$E$657,"MP-4",'Self-Assessment_Cases'!$I4:$I657,"Not Implemented - Risk Accepted")</f>
        <v>0</v>
      </c>
      <c r="O73" s="57">
        <f t="shared" si="17"/>
        <v>0</v>
      </c>
      <c r="P73" s="58">
        <f>COUNTIFS('Self-Assessment_Cases'!$E$4:$E$657,"MP-4",'Self-Assessment_Cases'!$I4:$I657,"Not Implemented - Planned")</f>
        <v>0</v>
      </c>
      <c r="Q73" s="58">
        <f t="shared" si="18"/>
        <v>0</v>
      </c>
      <c r="R73" s="59">
        <f>COUNTIFS('Self-Assessment_Cases'!$E$4:$E$657,"MP-4",'Self-Assessment_Cases'!$I4:$I657,"Not Implemented - Unplanned")</f>
        <v>0</v>
      </c>
      <c r="S73" s="59">
        <f t="shared" si="19"/>
        <v>0</v>
      </c>
      <c r="T73" s="60">
        <f>COUNTIFS('Self-Assessment_Cases'!$E$4:$E$657,"MP-4",'Self-Assessment_Cases'!$I4:$I657,"Not Applicable")</f>
        <v>0</v>
      </c>
      <c r="U73" s="61"/>
      <c r="V73" s="68" t="e">
        <f t="shared" si="20"/>
        <v>#REF!</v>
      </c>
      <c r="W73" s="44" t="e">
        <f t="shared" si="21"/>
        <v>#REF!</v>
      </c>
    </row>
    <row r="74" spans="1:23" ht="15" customHeight="1" x14ac:dyDescent="0.2">
      <c r="A74" s="45" t="s">
        <v>1509</v>
      </c>
      <c r="B74" s="46" t="e">
        <f>COUNTIF('Self-Assessment_Cases'!#REF!,"*"&amp;A74&amp;"*")</f>
        <v>#REF!</v>
      </c>
      <c r="C74" s="63" t="e">
        <f t="shared" si="11"/>
        <v>#REF!</v>
      </c>
      <c r="D74" s="47">
        <f>COUNTIFS('Self-Assessment_Cases'!$E$4:$E$657,"MP-5",'Self-Assessment_Cases'!$I4:$I657,"In Progress - Administrative")</f>
        <v>0</v>
      </c>
      <c r="E74" s="64">
        <f t="shared" si="12"/>
        <v>0</v>
      </c>
      <c r="F74" s="62">
        <f>COUNTIFS('Self-Assessment_Cases'!$E$4:$E$657,"MP-5",'Self-Assessment_Cases'!$I4:$I657,"In Progress - Configuration")</f>
        <v>0</v>
      </c>
      <c r="G74" s="65">
        <f t="shared" si="13"/>
        <v>0</v>
      </c>
      <c r="H74" s="48">
        <f>COUNTIFS('Self-Assessment_Cases'!$E$4:$E$657,"MP-5",'Self-Assessment_Cases'!$I4:$I657,"In Progress - Installation/Upgrade")</f>
        <v>0</v>
      </c>
      <c r="I74" s="66">
        <f t="shared" si="14"/>
        <v>0</v>
      </c>
      <c r="J74" s="49">
        <f>COUNTIFS('Self-Assessment_Cases'!$E$4:$E$657,"MP-5",'Self-Assessment_Cases'!$I4:$I657,"Not Implemented - Compensating Control")</f>
        <v>0</v>
      </c>
      <c r="K74" s="67">
        <f t="shared" si="15"/>
        <v>0</v>
      </c>
      <c r="L74" s="50">
        <f>COUNTIFS('Self-Assessment_Cases'!$E$4:$E$657,"MP-5",'Self-Assessment_Cases'!$I4:$I657,"Not Implemented - Risk Negligible")</f>
        <v>0</v>
      </c>
      <c r="M74" s="56">
        <f t="shared" si="16"/>
        <v>0</v>
      </c>
      <c r="N74" s="57">
        <f>COUNTIFS('Self-Assessment_Cases'!$E$4:$E$657,"MP-5",'Self-Assessment_Cases'!$I4:$I657,"Not Implemented - Risk Accepted")</f>
        <v>0</v>
      </c>
      <c r="O74" s="57">
        <f t="shared" si="17"/>
        <v>0</v>
      </c>
      <c r="P74" s="58">
        <f>COUNTIFS('Self-Assessment_Cases'!$E$4:$E$657,"MP-5",'Self-Assessment_Cases'!$I4:$I657,"Not Implemented - Planned")</f>
        <v>0</v>
      </c>
      <c r="Q74" s="58">
        <f t="shared" si="18"/>
        <v>0</v>
      </c>
      <c r="R74" s="59">
        <f>COUNTIFS('Self-Assessment_Cases'!$E$4:$E$657,"MP-5",'Self-Assessment_Cases'!$I4:$I657,"Not Implemented - Unplanned")</f>
        <v>0</v>
      </c>
      <c r="S74" s="59">
        <f t="shared" si="19"/>
        <v>0</v>
      </c>
      <c r="T74" s="60">
        <f>COUNTIFS('Self-Assessment_Cases'!$E$4:$E$657,"MP-5",'Self-Assessment_Cases'!$I4:$I657,"Not Applicable")</f>
        <v>0</v>
      </c>
      <c r="U74" s="61"/>
      <c r="V74" s="68" t="e">
        <f t="shared" si="20"/>
        <v>#REF!</v>
      </c>
      <c r="W74" s="44" t="e">
        <f t="shared" si="21"/>
        <v>#REF!</v>
      </c>
    </row>
    <row r="75" spans="1:23" x14ac:dyDescent="0.2">
      <c r="A75" s="45" t="s">
        <v>1510</v>
      </c>
      <c r="B75" s="46" t="e">
        <f>COUNTIF('Self-Assessment_Cases'!#REF!,"*"&amp;A75&amp;"*")</f>
        <v>#REF!</v>
      </c>
      <c r="C75" s="63" t="e">
        <f t="shared" si="11"/>
        <v>#REF!</v>
      </c>
      <c r="D75" s="47">
        <f>COUNTIFS('Self-Assessment_Cases'!$E$4:$E$657,"MP-6",'Self-Assessment_Cases'!$I4:$I657,"In Progress - Administrative")</f>
        <v>0</v>
      </c>
      <c r="E75" s="64">
        <f t="shared" si="12"/>
        <v>0</v>
      </c>
      <c r="F75" s="62">
        <f>COUNTIFS('Self-Assessment_Cases'!$E$4:$E$657,"MP-6",'Self-Assessment_Cases'!$I4:$I657,"In Progress - Configuration")</f>
        <v>0</v>
      </c>
      <c r="G75" s="65">
        <f t="shared" si="13"/>
        <v>0</v>
      </c>
      <c r="H75" s="48">
        <f>COUNTIFS('Self-Assessment_Cases'!$E$4:$E$657,"MP-6",'Self-Assessment_Cases'!$I4:$I657,"In Progress - Installation/Upgrade")</f>
        <v>0</v>
      </c>
      <c r="I75" s="66">
        <f t="shared" si="14"/>
        <v>0</v>
      </c>
      <c r="J75" s="49">
        <f>COUNTIFS('Self-Assessment_Cases'!$E$4:$E$657,"MP-6",'Self-Assessment_Cases'!$I4:$I657,"Not Implemented - Compensating Control")</f>
        <v>0</v>
      </c>
      <c r="K75" s="67">
        <f t="shared" si="15"/>
        <v>0</v>
      </c>
      <c r="L75" s="50">
        <f>COUNTIFS('Self-Assessment_Cases'!$E$4:$E$657,"MP-6",'Self-Assessment_Cases'!$I4:$I657,"Not Implemented - Risk Negligible")</f>
        <v>0</v>
      </c>
      <c r="M75" s="56">
        <f t="shared" si="16"/>
        <v>0</v>
      </c>
      <c r="N75" s="57">
        <f>COUNTIFS('Self-Assessment_Cases'!$E$4:$E$657,"MP-6",'Self-Assessment_Cases'!$I4:$I657,"Not Implemented - Risk Accepted")</f>
        <v>0</v>
      </c>
      <c r="O75" s="57">
        <f t="shared" si="17"/>
        <v>0</v>
      </c>
      <c r="P75" s="58">
        <f>COUNTIFS('Self-Assessment_Cases'!$E$4:$E$657,"MP-6",'Self-Assessment_Cases'!$I4:$I657,"Not Implemented - Planned")</f>
        <v>0</v>
      </c>
      <c r="Q75" s="58">
        <f t="shared" si="18"/>
        <v>0</v>
      </c>
      <c r="R75" s="59">
        <f>COUNTIFS('Self-Assessment_Cases'!$E$4:$E$657,"MP-6",'Self-Assessment_Cases'!$I4:$I657,"Not Implemented - Unplanned")</f>
        <v>0</v>
      </c>
      <c r="S75" s="59">
        <f t="shared" si="19"/>
        <v>0</v>
      </c>
      <c r="T75" s="60">
        <f>COUNTIFS('Self-Assessment_Cases'!$E$4:$E$657,"MP-6",'Self-Assessment_Cases'!$I4:$I657,"Not Applicable")</f>
        <v>0</v>
      </c>
      <c r="U75" s="61"/>
      <c r="V75" s="68" t="e">
        <f t="shared" si="20"/>
        <v>#REF!</v>
      </c>
      <c r="W75" s="44" t="e">
        <f t="shared" si="21"/>
        <v>#REF!</v>
      </c>
    </row>
    <row r="76" spans="1:23" ht="15" customHeight="1" x14ac:dyDescent="0.2">
      <c r="A76" s="45" t="s">
        <v>1423</v>
      </c>
      <c r="B76" s="46" t="e">
        <f>COUNTIF('Self-Assessment_Cases'!#REF!,"*"&amp;A76&amp;"*")</f>
        <v>#REF!</v>
      </c>
      <c r="C76" s="63" t="e">
        <f t="shared" si="11"/>
        <v>#REF!</v>
      </c>
      <c r="D76" s="47">
        <f>COUNTIFS('Self-Assessment_Cases'!$E$4:$E$657,"MP-7",'Self-Assessment_Cases'!$I4:$I657,"In Progress - Administrative")</f>
        <v>0</v>
      </c>
      <c r="E76" s="64">
        <f t="shared" si="12"/>
        <v>0</v>
      </c>
      <c r="F76" s="62">
        <f>COUNTIFS('Self-Assessment_Cases'!$E$4:$E$657,"MP-7",'Self-Assessment_Cases'!$I4:$I657,"In Progress - Configuration")</f>
        <v>0</v>
      </c>
      <c r="G76" s="65">
        <f t="shared" si="13"/>
        <v>0</v>
      </c>
      <c r="H76" s="48">
        <f>COUNTIFS('Self-Assessment_Cases'!$E$4:$E$657,"MP-7",'Self-Assessment_Cases'!$I4:$I657,"In Progress - Installation/Upgrade")</f>
        <v>0</v>
      </c>
      <c r="I76" s="66">
        <f t="shared" si="14"/>
        <v>0</v>
      </c>
      <c r="J76" s="49">
        <f>COUNTIFS('Self-Assessment_Cases'!$E$4:$E$657,"MP-7",'Self-Assessment_Cases'!$I4:$I657,"Not Implemented - Compensating Control")</f>
        <v>0</v>
      </c>
      <c r="K76" s="67">
        <f t="shared" si="15"/>
        <v>0</v>
      </c>
      <c r="L76" s="50">
        <f>COUNTIFS('Self-Assessment_Cases'!$E$4:$E$657,"MP-7",'Self-Assessment_Cases'!$I4:$I657,"Not Implemented - Risk Negligible")</f>
        <v>0</v>
      </c>
      <c r="M76" s="56">
        <f t="shared" si="16"/>
        <v>0</v>
      </c>
      <c r="N76" s="57">
        <f>COUNTIFS('Self-Assessment_Cases'!$E$4:$E$657,"MP-7",'Self-Assessment_Cases'!$I4:$I657,"Not Implemented - Risk Accepted")</f>
        <v>0</v>
      </c>
      <c r="O76" s="57">
        <f t="shared" si="17"/>
        <v>0</v>
      </c>
      <c r="P76" s="58">
        <f>COUNTIFS('Self-Assessment_Cases'!$E$4:$E$657,"MP-7",'Self-Assessment_Cases'!$I4:$I657,"Not Implemented - Planned")</f>
        <v>0</v>
      </c>
      <c r="Q76" s="58">
        <f t="shared" si="18"/>
        <v>0</v>
      </c>
      <c r="R76" s="59">
        <f>COUNTIFS('Self-Assessment_Cases'!$E$4:$E$657,"MP-7",'Self-Assessment_Cases'!$I4:$I657,"Not Implemented - Unplanned")</f>
        <v>0</v>
      </c>
      <c r="S76" s="59">
        <f t="shared" si="19"/>
        <v>0</v>
      </c>
      <c r="T76" s="60">
        <f>COUNTIFS('Self-Assessment_Cases'!$E$4:$E$657,"MP-7",'Self-Assessment_Cases'!$I4:$I657,"Not Applicable")</f>
        <v>0</v>
      </c>
      <c r="U76" s="61"/>
      <c r="V76" s="68" t="e">
        <f t="shared" si="20"/>
        <v>#REF!</v>
      </c>
      <c r="W76" s="44" t="e">
        <f t="shared" si="21"/>
        <v>#REF!</v>
      </c>
    </row>
    <row r="77" spans="1:23" x14ac:dyDescent="0.2">
      <c r="A77" s="45" t="s">
        <v>1424</v>
      </c>
      <c r="B77" s="46" t="e">
        <f>COUNTIF('Self-Assessment_Cases'!#REF!,"*"&amp;A77&amp;"*")</f>
        <v>#REF!</v>
      </c>
      <c r="C77" s="63" t="e">
        <f t="shared" si="11"/>
        <v>#REF!</v>
      </c>
      <c r="D77" s="47">
        <f>COUNTIFS('Self-Assessment_Cases'!$E$4:$E$657,"PE-1",'Self-Assessment_Cases'!$I4:$I657,"In Progress - Administrative")</f>
        <v>0</v>
      </c>
      <c r="E77" s="64">
        <f t="shared" si="12"/>
        <v>0</v>
      </c>
      <c r="F77" s="62">
        <f>COUNTIFS('Self-Assessment_Cases'!$E$4:$E$657,"PE-1",'Self-Assessment_Cases'!$I4:$I657,"In Progress - Configuration")</f>
        <v>0</v>
      </c>
      <c r="G77" s="65">
        <f t="shared" si="13"/>
        <v>0</v>
      </c>
      <c r="H77" s="48">
        <f>COUNTIFS('Self-Assessment_Cases'!$E$4:$E$657,"PE-1",'Self-Assessment_Cases'!$I4:$I657,"In Progress - Installation/Upgrade")</f>
        <v>0</v>
      </c>
      <c r="I77" s="66">
        <f t="shared" si="14"/>
        <v>0</v>
      </c>
      <c r="J77" s="49">
        <f>COUNTIFS('Self-Assessment_Cases'!$E$4:$E$657,"PE-1",'Self-Assessment_Cases'!$I4:$I657,"Not Implemented - Compensating Control")</f>
        <v>0</v>
      </c>
      <c r="K77" s="67">
        <f t="shared" si="15"/>
        <v>0</v>
      </c>
      <c r="L77" s="50">
        <f>COUNTIFS('Self-Assessment_Cases'!$E$4:$E$657,"PE-1",'Self-Assessment_Cases'!$I4:$I657,"Not Implemented - Risk Negligible")</f>
        <v>0</v>
      </c>
      <c r="M77" s="56">
        <f t="shared" si="16"/>
        <v>0</v>
      </c>
      <c r="N77" s="57">
        <f>COUNTIFS('Self-Assessment_Cases'!$E$4:$E$657,"PE-1",'Self-Assessment_Cases'!$I4:$I657,"Not Implemented - Risk Accepted")</f>
        <v>0</v>
      </c>
      <c r="O77" s="57">
        <f t="shared" si="17"/>
        <v>0</v>
      </c>
      <c r="P77" s="58">
        <f>COUNTIFS('Self-Assessment_Cases'!$E$4:$E$657,"PE-1",'Self-Assessment_Cases'!$I4:$I657,"Not Implemented - Planned")</f>
        <v>0</v>
      </c>
      <c r="Q77" s="58">
        <f t="shared" si="18"/>
        <v>0</v>
      </c>
      <c r="R77" s="59">
        <f>COUNTIFS('Self-Assessment_Cases'!$E$4:$E$657,"PE-1",'Self-Assessment_Cases'!$I4:$I657,"Not Implemented - Unplanned")</f>
        <v>0</v>
      </c>
      <c r="S77" s="59">
        <f t="shared" si="19"/>
        <v>0</v>
      </c>
      <c r="T77" s="60">
        <f>COUNTIFS('Self-Assessment_Cases'!$E$4:$E$657,"PE-1",'Self-Assessment_Cases'!$I4:$I657,"Not Applicable")</f>
        <v>0</v>
      </c>
      <c r="U77" s="61"/>
      <c r="V77" s="68" t="e">
        <f t="shared" si="20"/>
        <v>#REF!</v>
      </c>
      <c r="W77" s="44" t="e">
        <f t="shared" si="21"/>
        <v>#REF!</v>
      </c>
    </row>
    <row r="78" spans="1:23" ht="15" customHeight="1" x14ac:dyDescent="0.2">
      <c r="A78" s="45" t="s">
        <v>1511</v>
      </c>
      <c r="B78" s="46" t="e">
        <f>COUNTIF('Self-Assessment_Cases'!#REF!,"*"&amp;A78&amp;"*")</f>
        <v>#REF!</v>
      </c>
      <c r="C78" s="63" t="e">
        <f t="shared" si="11"/>
        <v>#REF!</v>
      </c>
      <c r="D78" s="47">
        <f>COUNTIFS('Self-Assessment_Cases'!$E$4:$E$657,"PE-16",'Self-Assessment_Cases'!$I4:$I657,"In Progress - Administrative")</f>
        <v>0</v>
      </c>
      <c r="E78" s="64">
        <f t="shared" si="12"/>
        <v>0</v>
      </c>
      <c r="F78" s="62">
        <f>COUNTIFS('Self-Assessment_Cases'!$E$4:$E$657,"PE-16",'Self-Assessment_Cases'!$I4:$I657,"In Progress - Configuration")</f>
        <v>0</v>
      </c>
      <c r="G78" s="65">
        <f t="shared" si="13"/>
        <v>0</v>
      </c>
      <c r="H78" s="48">
        <f>COUNTIFS('Self-Assessment_Cases'!$E$4:$E$657,"PE-16",'Self-Assessment_Cases'!$I4:$I657,"In Progress - Installation/Upgrade")</f>
        <v>0</v>
      </c>
      <c r="I78" s="66">
        <f t="shared" si="14"/>
        <v>0</v>
      </c>
      <c r="J78" s="49">
        <f>COUNTIFS('Self-Assessment_Cases'!$E$4:$E$657,"PE-16",'Self-Assessment_Cases'!$I4:$I657,"Not Implemented - Compensating Control")</f>
        <v>0</v>
      </c>
      <c r="K78" s="67">
        <f t="shared" si="15"/>
        <v>0</v>
      </c>
      <c r="L78" s="50">
        <f>COUNTIFS('Self-Assessment_Cases'!$E$4:$E$657,"PE-16",'Self-Assessment_Cases'!$I4:$I657,"Not Implemented - Risk Negligible")</f>
        <v>0</v>
      </c>
      <c r="M78" s="56">
        <f t="shared" si="16"/>
        <v>0</v>
      </c>
      <c r="N78" s="57">
        <f>COUNTIFS('Self-Assessment_Cases'!$E$4:$E$657,"PE-16",'Self-Assessment_Cases'!$I4:$I657,"Not Implemented - Risk Accepted")</f>
        <v>0</v>
      </c>
      <c r="O78" s="57">
        <f t="shared" si="17"/>
        <v>0</v>
      </c>
      <c r="P78" s="58">
        <f>COUNTIFS('Self-Assessment_Cases'!$E$4:$E$657,"PE-16",'Self-Assessment_Cases'!$I4:$I657,"Not Implemented - Planned")</f>
        <v>0</v>
      </c>
      <c r="Q78" s="58">
        <f t="shared" si="18"/>
        <v>0</v>
      </c>
      <c r="R78" s="59">
        <f>COUNTIFS('Self-Assessment_Cases'!$E$4:$E$657,"PE-16",'Self-Assessment_Cases'!$I4:$I657,"Not Implemented - Unplanned")</f>
        <v>0</v>
      </c>
      <c r="S78" s="59">
        <f t="shared" si="19"/>
        <v>0</v>
      </c>
      <c r="T78" s="60">
        <f>COUNTIFS('Self-Assessment_Cases'!$E$4:$E$657,"PE-16",'Self-Assessment_Cases'!$I4:$I657,"Not Applicable")</f>
        <v>0</v>
      </c>
      <c r="U78" s="61"/>
      <c r="V78" s="68" t="e">
        <f t="shared" si="20"/>
        <v>#REF!</v>
      </c>
      <c r="W78" s="44" t="e">
        <f t="shared" si="21"/>
        <v>#REF!</v>
      </c>
    </row>
    <row r="79" spans="1:23" ht="15" customHeight="1" x14ac:dyDescent="0.2">
      <c r="A79" s="45" t="s">
        <v>1512</v>
      </c>
      <c r="B79" s="46" t="e">
        <f>COUNTIF('Self-Assessment_Cases'!#REF!,"*"&amp;A79&amp;"*")</f>
        <v>#REF!</v>
      </c>
      <c r="C79" s="63" t="e">
        <f t="shared" si="11"/>
        <v>#REF!</v>
      </c>
      <c r="D79" s="47">
        <f>COUNTIFS('Self-Assessment_Cases'!$E$4:$E$657,"PE-18",'Self-Assessment_Cases'!$I4:$I657,"In Progress - Administrative")</f>
        <v>0</v>
      </c>
      <c r="E79" s="64">
        <f t="shared" si="12"/>
        <v>0</v>
      </c>
      <c r="F79" s="62">
        <f>COUNTIFS('Self-Assessment_Cases'!$E$4:$E$657,"PE-18",'Self-Assessment_Cases'!$I4:$I657,"In Progress - Configuration")</f>
        <v>0</v>
      </c>
      <c r="G79" s="65">
        <f t="shared" si="13"/>
        <v>0</v>
      </c>
      <c r="H79" s="48">
        <f>COUNTIFS('Self-Assessment_Cases'!$E$4:$E$657,"PE-18",'Self-Assessment_Cases'!$I4:$I657,"In Progress - Installation/Upgrade")</f>
        <v>0</v>
      </c>
      <c r="I79" s="66">
        <f t="shared" si="14"/>
        <v>0</v>
      </c>
      <c r="J79" s="49">
        <f>COUNTIFS('Self-Assessment_Cases'!$E$4:$E$657,"PE-18",'Self-Assessment_Cases'!$I4:$I657,"Not Implemented - Compensating Control")</f>
        <v>0</v>
      </c>
      <c r="K79" s="67">
        <f t="shared" si="15"/>
        <v>0</v>
      </c>
      <c r="L79" s="50">
        <f>COUNTIFS('Self-Assessment_Cases'!$E$4:$E$657,"PE-18",'Self-Assessment_Cases'!$I4:$I657,"Not Implemented - Risk Negligible")</f>
        <v>0</v>
      </c>
      <c r="M79" s="56">
        <f t="shared" si="16"/>
        <v>0</v>
      </c>
      <c r="N79" s="57">
        <f>COUNTIFS('Self-Assessment_Cases'!$E$4:$E$657,"PE-18",'Self-Assessment_Cases'!$I4:$I657,"Not Implemented - Risk Accepted")</f>
        <v>0</v>
      </c>
      <c r="O79" s="57">
        <f t="shared" si="17"/>
        <v>0</v>
      </c>
      <c r="P79" s="58">
        <f>COUNTIFS('Self-Assessment_Cases'!$E$4:$E$657,"PE-18",'Self-Assessment_Cases'!$I4:$I657,"Not Implemented - Planned")</f>
        <v>0</v>
      </c>
      <c r="Q79" s="58">
        <f t="shared" si="18"/>
        <v>0</v>
      </c>
      <c r="R79" s="59">
        <f>COUNTIFS('Self-Assessment_Cases'!$E$4:$E$657,"PE-18",'Self-Assessment_Cases'!$I4:$I657,"Not Implemented - Unplanned")</f>
        <v>0</v>
      </c>
      <c r="S79" s="59">
        <f t="shared" si="19"/>
        <v>0</v>
      </c>
      <c r="T79" s="60">
        <f>COUNTIFS('Self-Assessment_Cases'!$E$4:$E$657,"PE-18",'Self-Assessment_Cases'!$I4:$I657,"Not Applicable")</f>
        <v>0</v>
      </c>
      <c r="U79" s="61"/>
      <c r="V79" s="68" t="e">
        <f t="shared" si="20"/>
        <v>#REF!</v>
      </c>
      <c r="W79" s="44" t="e">
        <f t="shared" si="21"/>
        <v>#REF!</v>
      </c>
    </row>
    <row r="80" spans="1:23" ht="15" customHeight="1" x14ac:dyDescent="0.2">
      <c r="A80" s="45" t="s">
        <v>1447</v>
      </c>
      <c r="B80" s="46" t="e">
        <f>COUNTIF('Self-Assessment_Cases'!#REF!,"*"&amp;A80&amp;"*")</f>
        <v>#REF!</v>
      </c>
      <c r="C80" s="63" t="e">
        <f t="shared" si="11"/>
        <v>#REF!</v>
      </c>
      <c r="D80" s="47">
        <f>COUNTIFS('Self-Assessment_Cases'!$E$4:$E$657,"PE-19",'Self-Assessment_Cases'!$I4:$I657,"In Progress - Administrative")</f>
        <v>0</v>
      </c>
      <c r="E80" s="64">
        <f t="shared" si="12"/>
        <v>0</v>
      </c>
      <c r="F80" s="62">
        <f>COUNTIFS('Self-Assessment_Cases'!$E$4:$E$657,"PE-19",'Self-Assessment_Cases'!$I4:$I657,"In Progress - Configuration")</f>
        <v>0</v>
      </c>
      <c r="G80" s="65">
        <f t="shared" si="13"/>
        <v>0</v>
      </c>
      <c r="H80" s="48">
        <f>COUNTIFS('Self-Assessment_Cases'!$E$4:$E$657,"PE-19",'Self-Assessment_Cases'!$I4:$I657,"In Progress - Installation/Upgrade")</f>
        <v>0</v>
      </c>
      <c r="I80" s="66">
        <f t="shared" si="14"/>
        <v>0</v>
      </c>
      <c r="J80" s="49">
        <f>COUNTIFS('Self-Assessment_Cases'!$E$4:$E$657,"PE-19",'Self-Assessment_Cases'!$I4:$I657,"Not Implemented - Compensating Control")</f>
        <v>0</v>
      </c>
      <c r="K80" s="67">
        <f t="shared" si="15"/>
        <v>0</v>
      </c>
      <c r="L80" s="50">
        <f>COUNTIFS('Self-Assessment_Cases'!$E$4:$E$657,"PE-19",'Self-Assessment_Cases'!$I4:$I657,"Not Implemented - Risk Negligible")</f>
        <v>0</v>
      </c>
      <c r="M80" s="56">
        <f t="shared" si="16"/>
        <v>0</v>
      </c>
      <c r="N80" s="57">
        <f>COUNTIFS('Self-Assessment_Cases'!$E$4:$E$657,"PE-19",'Self-Assessment_Cases'!$I4:$I657,"Not Implemented - Risk Accepted")</f>
        <v>0</v>
      </c>
      <c r="O80" s="57">
        <f t="shared" si="17"/>
        <v>0</v>
      </c>
      <c r="P80" s="58">
        <f>COUNTIFS('Self-Assessment_Cases'!$E$4:$E$657,"PE-19",'Self-Assessment_Cases'!$I4:$I657,"Not Implemented - Planned")</f>
        <v>0</v>
      </c>
      <c r="Q80" s="58">
        <f t="shared" si="18"/>
        <v>0</v>
      </c>
      <c r="R80" s="59">
        <f>COUNTIFS('Self-Assessment_Cases'!$E$4:$E$657,"PE-19",'Self-Assessment_Cases'!$I4:$I657,"Not Implemented - Unplanned")</f>
        <v>0</v>
      </c>
      <c r="S80" s="59">
        <f t="shared" si="19"/>
        <v>0</v>
      </c>
      <c r="T80" s="60">
        <f>COUNTIFS('Self-Assessment_Cases'!$E$4:$E$657,"PE-19",'Self-Assessment_Cases'!$I4:$I657,"Not Applicable")</f>
        <v>0</v>
      </c>
      <c r="U80" s="61"/>
      <c r="V80" s="68" t="e">
        <f t="shared" si="20"/>
        <v>#REF!</v>
      </c>
      <c r="W80" s="44" t="e">
        <f t="shared" si="21"/>
        <v>#REF!</v>
      </c>
    </row>
    <row r="81" spans="1:23" ht="15" customHeight="1" x14ac:dyDescent="0.2">
      <c r="A81" s="45" t="s">
        <v>1448</v>
      </c>
      <c r="B81" s="46" t="e">
        <f>COUNTIF('Self-Assessment_Cases'!#REF!,"*"&amp;A81&amp;"*")</f>
        <v>#REF!</v>
      </c>
      <c r="C81" s="63" t="e">
        <f t="shared" si="11"/>
        <v>#REF!</v>
      </c>
      <c r="D81" s="47">
        <f>COUNTIFS('Self-Assessment_Cases'!$E$4:$E$657,"PE-2",'Self-Assessment_Cases'!$I4:$I657,"In Progress - Administrative")</f>
        <v>0</v>
      </c>
      <c r="E81" s="64">
        <f t="shared" si="12"/>
        <v>0</v>
      </c>
      <c r="F81" s="62">
        <f>COUNTIFS('Self-Assessment_Cases'!$E$4:$E$657,"PE-2",'Self-Assessment_Cases'!$I4:$I657,"In Progress - Configuration")</f>
        <v>0</v>
      </c>
      <c r="G81" s="65">
        <f t="shared" si="13"/>
        <v>0</v>
      </c>
      <c r="H81" s="48">
        <f>COUNTIFS('Self-Assessment_Cases'!$E$4:$E$657,"PE-2",'Self-Assessment_Cases'!$I4:$I657,"In Progress - Installation/Upgrade")</f>
        <v>0</v>
      </c>
      <c r="I81" s="66">
        <f t="shared" si="14"/>
        <v>0</v>
      </c>
      <c r="J81" s="49">
        <f>COUNTIFS('Self-Assessment_Cases'!$E$4:$E$657,"PE-2",'Self-Assessment_Cases'!$I4:$I657,"Not Implemented - Compensating Control")</f>
        <v>0</v>
      </c>
      <c r="K81" s="67">
        <f t="shared" si="15"/>
        <v>0</v>
      </c>
      <c r="L81" s="50">
        <f>COUNTIFS('Self-Assessment_Cases'!$E$4:$E$657,"PE-2",'Self-Assessment_Cases'!$I4:$I657,"Not Implemented - Risk Negligible")</f>
        <v>0</v>
      </c>
      <c r="M81" s="56">
        <f t="shared" si="16"/>
        <v>0</v>
      </c>
      <c r="N81" s="57">
        <f>COUNTIFS('Self-Assessment_Cases'!$E$4:$E$657,"PE-2",'Self-Assessment_Cases'!$I4:$I657,"Not Implemented - Risk Accepted")</f>
        <v>0</v>
      </c>
      <c r="O81" s="57">
        <f t="shared" si="17"/>
        <v>0</v>
      </c>
      <c r="P81" s="58">
        <f>COUNTIFS('Self-Assessment_Cases'!$E$4:$E$657,"PE-2",'Self-Assessment_Cases'!$I4:$I657,"Not Implemented - Planned")</f>
        <v>0</v>
      </c>
      <c r="Q81" s="58">
        <f t="shared" si="18"/>
        <v>0</v>
      </c>
      <c r="R81" s="59">
        <f>COUNTIFS('Self-Assessment_Cases'!$E$4:$E$657,"PE-2",'Self-Assessment_Cases'!$I4:$I657,"Not Implemented - Unplanned")</f>
        <v>0</v>
      </c>
      <c r="S81" s="59">
        <f t="shared" si="19"/>
        <v>0</v>
      </c>
      <c r="T81" s="60">
        <f>COUNTIFS('Self-Assessment_Cases'!$E$4:$E$657,"PE-2",'Self-Assessment_Cases'!$I4:$I657,"Not Applicable")</f>
        <v>0</v>
      </c>
      <c r="U81" s="61"/>
      <c r="V81" s="68" t="e">
        <f t="shared" si="20"/>
        <v>#REF!</v>
      </c>
      <c r="W81" s="44" t="e">
        <f t="shared" si="21"/>
        <v>#REF!</v>
      </c>
    </row>
    <row r="82" spans="1:23" ht="15" customHeight="1" x14ac:dyDescent="0.2">
      <c r="A82" s="45" t="s">
        <v>1449</v>
      </c>
      <c r="B82" s="46" t="e">
        <f>COUNTIF('Self-Assessment_Cases'!#REF!,"*"&amp;A82&amp;"*")</f>
        <v>#REF!</v>
      </c>
      <c r="C82" s="63" t="e">
        <f t="shared" si="11"/>
        <v>#REF!</v>
      </c>
      <c r="D82" s="47">
        <f>COUNTIFS('Self-Assessment_Cases'!$E$4:$E$657,"PE-20",'Self-Assessment_Cases'!$I4:$I657,"In Progress - Administrative")</f>
        <v>0</v>
      </c>
      <c r="E82" s="64">
        <f t="shared" si="12"/>
        <v>0</v>
      </c>
      <c r="F82" s="62">
        <f>COUNTIFS('Self-Assessment_Cases'!$E$4:$E$657,"PE-20",'Self-Assessment_Cases'!$I4:$I657,"In Progress - Configuration")</f>
        <v>0</v>
      </c>
      <c r="G82" s="65">
        <f t="shared" si="13"/>
        <v>0</v>
      </c>
      <c r="H82" s="48">
        <f>COUNTIFS('Self-Assessment_Cases'!$E$4:$E$657,"PE-20",'Self-Assessment_Cases'!$I4:$I657,"In Progress - Installation/Upgrade")</f>
        <v>0</v>
      </c>
      <c r="I82" s="66">
        <f t="shared" si="14"/>
        <v>0</v>
      </c>
      <c r="J82" s="49">
        <f>COUNTIFS('Self-Assessment_Cases'!$E$4:$E$657,"PE-20",'Self-Assessment_Cases'!$I4:$I657,"Not Implemented - Compensating Control")</f>
        <v>0</v>
      </c>
      <c r="K82" s="67">
        <f t="shared" si="15"/>
        <v>0</v>
      </c>
      <c r="L82" s="50">
        <f>COUNTIFS('Self-Assessment_Cases'!$E$4:$E$657,"PE-20",'Self-Assessment_Cases'!$I4:$I657,"Not Implemented - Risk Negligible")</f>
        <v>0</v>
      </c>
      <c r="M82" s="56">
        <f t="shared" si="16"/>
        <v>0</v>
      </c>
      <c r="N82" s="57">
        <f>COUNTIFS('Self-Assessment_Cases'!$E$4:$E$657,"PE-20",'Self-Assessment_Cases'!$I4:$I657,"Not Implemented - Risk Accepted")</f>
        <v>0</v>
      </c>
      <c r="O82" s="57">
        <f t="shared" si="17"/>
        <v>0</v>
      </c>
      <c r="P82" s="58">
        <f>COUNTIFS('Self-Assessment_Cases'!$E$4:$E$657,"PE-20",'Self-Assessment_Cases'!$I4:$I657,"Not Implemented - Planned")</f>
        <v>0</v>
      </c>
      <c r="Q82" s="58">
        <f t="shared" si="18"/>
        <v>0</v>
      </c>
      <c r="R82" s="59">
        <f>COUNTIFS('Self-Assessment_Cases'!$E$4:$E$657,"PE-20",'Self-Assessment_Cases'!$I4:$I657,"Not Implemented - Unplanned")</f>
        <v>0</v>
      </c>
      <c r="S82" s="59">
        <f t="shared" si="19"/>
        <v>0</v>
      </c>
      <c r="T82" s="60">
        <f>COUNTIFS('Self-Assessment_Cases'!$E$4:$E$657,"PE-20",'Self-Assessment_Cases'!$I4:$I657,"Not Applicable")</f>
        <v>0</v>
      </c>
      <c r="U82" s="61"/>
      <c r="V82" s="68" t="e">
        <f t="shared" si="20"/>
        <v>#REF!</v>
      </c>
      <c r="W82" s="44" t="e">
        <f t="shared" si="21"/>
        <v>#REF!</v>
      </c>
    </row>
    <row r="83" spans="1:23" x14ac:dyDescent="0.2">
      <c r="A83" s="45" t="s">
        <v>1513</v>
      </c>
      <c r="B83" s="46" t="e">
        <f>COUNTIF('Self-Assessment_Cases'!#REF!,"*"&amp;A83&amp;"*")</f>
        <v>#REF!</v>
      </c>
      <c r="C83" s="63" t="e">
        <f t="shared" si="11"/>
        <v>#REF!</v>
      </c>
      <c r="D83" s="47">
        <f>COUNTIFS('Self-Assessment_Cases'!$E$4:$E$657,"PE-3",'Self-Assessment_Cases'!$I4:$I657,"In Progress - Administrative")</f>
        <v>0</v>
      </c>
      <c r="E83" s="64">
        <f t="shared" si="12"/>
        <v>0</v>
      </c>
      <c r="F83" s="62">
        <f>COUNTIFS('Self-Assessment_Cases'!$E$4:$E$657,"PE-3",'Self-Assessment_Cases'!$I4:$I657,"In Progress - Configuration")</f>
        <v>0</v>
      </c>
      <c r="G83" s="65">
        <f t="shared" si="13"/>
        <v>0</v>
      </c>
      <c r="H83" s="48">
        <f>COUNTIFS('Self-Assessment_Cases'!$E$4:$E$657,"PE-3",'Self-Assessment_Cases'!$I4:$I657,"In Progress - Installation/Upgrade")</f>
        <v>0</v>
      </c>
      <c r="I83" s="66">
        <f t="shared" si="14"/>
        <v>0</v>
      </c>
      <c r="J83" s="49">
        <f>COUNTIFS('Self-Assessment_Cases'!$E$4:$E$657,"PE-3",'Self-Assessment_Cases'!$I4:$I657,"Not Implemented - Compensating Control")</f>
        <v>0</v>
      </c>
      <c r="K83" s="67">
        <f t="shared" si="15"/>
        <v>0</v>
      </c>
      <c r="L83" s="50">
        <f>COUNTIFS('Self-Assessment_Cases'!$E$4:$E$657,"PE-3",'Self-Assessment_Cases'!$I4:$I657,"Not Implemented - Risk Negligible")</f>
        <v>0</v>
      </c>
      <c r="M83" s="56">
        <f t="shared" si="16"/>
        <v>0</v>
      </c>
      <c r="N83" s="57">
        <f>COUNTIFS('Self-Assessment_Cases'!$E$4:$E$657,"PE-3",'Self-Assessment_Cases'!$I4:$I657,"Not Implemented - Risk Accepted")</f>
        <v>0</v>
      </c>
      <c r="O83" s="57">
        <f t="shared" si="17"/>
        <v>0</v>
      </c>
      <c r="P83" s="58">
        <f>COUNTIFS('Self-Assessment_Cases'!$E$4:$E$657,"PE-3",'Self-Assessment_Cases'!$I4:$I657,"Not Implemented - Planned")</f>
        <v>0</v>
      </c>
      <c r="Q83" s="58">
        <f t="shared" si="18"/>
        <v>0</v>
      </c>
      <c r="R83" s="59">
        <f>COUNTIFS('Self-Assessment_Cases'!$E$4:$E$657,"PE-3",'Self-Assessment_Cases'!$I4:$I657,"Not Implemented - Unplanned")</f>
        <v>0</v>
      </c>
      <c r="S83" s="59">
        <f t="shared" si="19"/>
        <v>0</v>
      </c>
      <c r="T83" s="60">
        <f>COUNTIFS('Self-Assessment_Cases'!$E$4:$E$657,"PE-3",'Self-Assessment_Cases'!$I4:$I657,"Not Applicable")</f>
        <v>0</v>
      </c>
      <c r="U83" s="61"/>
      <c r="V83" s="68" t="e">
        <f t="shared" si="20"/>
        <v>#REF!</v>
      </c>
      <c r="W83" s="44" t="e">
        <f t="shared" si="21"/>
        <v>#REF!</v>
      </c>
    </row>
    <row r="84" spans="1:23" ht="15" customHeight="1" x14ac:dyDescent="0.2">
      <c r="A84" s="45" t="s">
        <v>1514</v>
      </c>
      <c r="B84" s="46" t="e">
        <f>COUNTIF('Self-Assessment_Cases'!#REF!,"*"&amp;A84&amp;"*")</f>
        <v>#REF!</v>
      </c>
      <c r="C84" s="63" t="e">
        <f t="shared" si="11"/>
        <v>#REF!</v>
      </c>
      <c r="D84" s="47">
        <f>COUNTIFS('Self-Assessment_Cases'!$E$4:$E$657,"PE-5",'Self-Assessment_Cases'!$I4:$I657,"In Progress - Administrative")</f>
        <v>0</v>
      </c>
      <c r="E84" s="64">
        <f t="shared" si="12"/>
        <v>0</v>
      </c>
      <c r="F84" s="62">
        <f>COUNTIFS('Self-Assessment_Cases'!$E$4:$E$657,"PE-5",'Self-Assessment_Cases'!$I4:$I657,"In Progress - Configuration")</f>
        <v>0</v>
      </c>
      <c r="G84" s="65">
        <f t="shared" si="13"/>
        <v>0</v>
      </c>
      <c r="H84" s="48">
        <f>COUNTIFS('Self-Assessment_Cases'!$E$4:$E$657,"PE-5",'Self-Assessment_Cases'!$I4:$I657,"In Progress - Installation/Upgrade")</f>
        <v>0</v>
      </c>
      <c r="I84" s="66">
        <f t="shared" si="14"/>
        <v>0</v>
      </c>
      <c r="J84" s="49">
        <f>COUNTIFS('Self-Assessment_Cases'!$E$4:$E$657,"PE-5",'Self-Assessment_Cases'!$I4:$I657,"Not Implemented - Compensating Control")</f>
        <v>0</v>
      </c>
      <c r="K84" s="67">
        <f t="shared" si="15"/>
        <v>0</v>
      </c>
      <c r="L84" s="50">
        <f>COUNTIFS('Self-Assessment_Cases'!$E$4:$E$657,"PE-5",'Self-Assessment_Cases'!$I4:$I657,"Not Implemented - Risk Negligible")</f>
        <v>0</v>
      </c>
      <c r="M84" s="56">
        <f t="shared" si="16"/>
        <v>0</v>
      </c>
      <c r="N84" s="57">
        <f>COUNTIFS('Self-Assessment_Cases'!$E$4:$E$657,"PE-5",'Self-Assessment_Cases'!$I4:$I657,"Not Implemented - Risk Accepted")</f>
        <v>0</v>
      </c>
      <c r="O84" s="57">
        <f t="shared" si="17"/>
        <v>0</v>
      </c>
      <c r="P84" s="58">
        <f>COUNTIFS('Self-Assessment_Cases'!$E$4:$E$657,"PE-5",'Self-Assessment_Cases'!$I4:$I657,"Not Implemented - Planned")</f>
        <v>0</v>
      </c>
      <c r="Q84" s="58">
        <f t="shared" si="18"/>
        <v>0</v>
      </c>
      <c r="R84" s="59">
        <f>COUNTIFS('Self-Assessment_Cases'!$E$4:$E$657,"PE-5",'Self-Assessment_Cases'!$I4:$I657,"Not Implemented - Unplanned")</f>
        <v>0</v>
      </c>
      <c r="S84" s="59">
        <f t="shared" si="19"/>
        <v>0</v>
      </c>
      <c r="T84" s="60">
        <f>COUNTIFS('Self-Assessment_Cases'!$E$4:$E$657,"PE-5",'Self-Assessment_Cases'!$I4:$I657,"Not Applicable")</f>
        <v>0</v>
      </c>
      <c r="U84" s="61"/>
      <c r="V84" s="68" t="e">
        <f t="shared" si="20"/>
        <v>#REF!</v>
      </c>
      <c r="W84" s="44" t="e">
        <f t="shared" si="21"/>
        <v>#REF!</v>
      </c>
    </row>
    <row r="85" spans="1:23" x14ac:dyDescent="0.2">
      <c r="A85" s="45" t="s">
        <v>1515</v>
      </c>
      <c r="B85" s="46" t="e">
        <f>COUNTIF('Self-Assessment_Cases'!#REF!,"*"&amp;A85&amp;"*")</f>
        <v>#REF!</v>
      </c>
      <c r="C85" s="63" t="e">
        <f t="shared" si="11"/>
        <v>#REF!</v>
      </c>
      <c r="D85" s="47">
        <f>COUNTIFS('Self-Assessment_Cases'!$E$4:$E$657,"PE-6",'Self-Assessment_Cases'!$I4:$I657,"In Progress - Administrative")</f>
        <v>0</v>
      </c>
      <c r="E85" s="64">
        <f t="shared" si="12"/>
        <v>0</v>
      </c>
      <c r="F85" s="62">
        <f>COUNTIFS('Self-Assessment_Cases'!$E$4:$E$657,"PE-6",'Self-Assessment_Cases'!$I4:$I657,"In Progress - Configuration")</f>
        <v>0</v>
      </c>
      <c r="G85" s="65">
        <f t="shared" si="13"/>
        <v>0</v>
      </c>
      <c r="H85" s="48">
        <f>COUNTIFS('Self-Assessment_Cases'!$E$4:$E$657,"PE-6",'Self-Assessment_Cases'!$I4:$I657,"In Progress - Installation/Upgrade")</f>
        <v>0</v>
      </c>
      <c r="I85" s="66">
        <f t="shared" si="14"/>
        <v>0</v>
      </c>
      <c r="J85" s="49">
        <f>COUNTIFS('Self-Assessment_Cases'!$E$4:$E$657,"PE-6",'Self-Assessment_Cases'!$I4:$I657,"Not Implemented - Compensating Control")</f>
        <v>0</v>
      </c>
      <c r="K85" s="67">
        <f t="shared" si="15"/>
        <v>0</v>
      </c>
      <c r="L85" s="50">
        <f>COUNTIFS('Self-Assessment_Cases'!$E$4:$E$657,"PE-6",'Self-Assessment_Cases'!$I4:$I657,"Not Implemented - Risk Negligible")</f>
        <v>0</v>
      </c>
      <c r="M85" s="56">
        <f t="shared" si="16"/>
        <v>0</v>
      </c>
      <c r="N85" s="57">
        <f>COUNTIFS('Self-Assessment_Cases'!$E$4:$E$657,"PE-6",'Self-Assessment_Cases'!$I4:$I657,"Not Implemented - Risk Accepted")</f>
        <v>0</v>
      </c>
      <c r="O85" s="57">
        <f t="shared" si="17"/>
        <v>0</v>
      </c>
      <c r="P85" s="58">
        <f>COUNTIFS('Self-Assessment_Cases'!$E$4:$E$657,"PE-6",'Self-Assessment_Cases'!$I4:$I657,"Not Implemented - Planned")</f>
        <v>0</v>
      </c>
      <c r="Q85" s="58">
        <f t="shared" si="18"/>
        <v>0</v>
      </c>
      <c r="R85" s="59">
        <f>COUNTIFS('Self-Assessment_Cases'!$E$4:$E$657,"PE-6",'Self-Assessment_Cases'!$I4:$I657,"Not Implemented - Unplanned")</f>
        <v>0</v>
      </c>
      <c r="S85" s="59">
        <f t="shared" si="19"/>
        <v>0</v>
      </c>
      <c r="T85" s="60">
        <f>COUNTIFS('Self-Assessment_Cases'!$E$4:$E$657,"PE-6",'Self-Assessment_Cases'!$I4:$I657,"Not Applicable")</f>
        <v>0</v>
      </c>
      <c r="U85" s="61"/>
      <c r="V85" s="68" t="e">
        <f t="shared" si="20"/>
        <v>#REF!</v>
      </c>
      <c r="W85" s="44" t="e">
        <f t="shared" si="21"/>
        <v>#REF!</v>
      </c>
    </row>
    <row r="86" spans="1:23" x14ac:dyDescent="0.2">
      <c r="A86" s="45" t="s">
        <v>1516</v>
      </c>
      <c r="B86" s="46" t="e">
        <f>COUNTIF('Self-Assessment_Cases'!#REF!,"*"&amp;A86&amp;"*")</f>
        <v>#REF!</v>
      </c>
      <c r="C86" s="63" t="e">
        <f t="shared" si="11"/>
        <v>#REF!</v>
      </c>
      <c r="D86" s="47">
        <f>COUNTIFS('Self-Assessment_Cases'!$E$4:$E$657,"PL-1",'Self-Assessment_Cases'!$I4:$I657,"In Progress - Administrative")</f>
        <v>0</v>
      </c>
      <c r="E86" s="64">
        <f t="shared" si="12"/>
        <v>0</v>
      </c>
      <c r="F86" s="62">
        <f>COUNTIFS('Self-Assessment_Cases'!$E$4:$E$657,"PL-1",'Self-Assessment_Cases'!$I4:$I657,"In Progress - Configuration")</f>
        <v>0</v>
      </c>
      <c r="G86" s="65">
        <f t="shared" si="13"/>
        <v>0</v>
      </c>
      <c r="H86" s="48">
        <f>COUNTIFS('Self-Assessment_Cases'!$E$4:$E$657,"PL-1",'Self-Assessment_Cases'!$I4:$I657,"In Progress - Installation/Upgrade")</f>
        <v>0</v>
      </c>
      <c r="I86" s="66">
        <f t="shared" si="14"/>
        <v>0</v>
      </c>
      <c r="J86" s="49">
        <f>COUNTIFS('Self-Assessment_Cases'!$E$4:$E$657,"PL-1",'Self-Assessment_Cases'!$I4:$I657,"Not Implemented - Compensating Control")</f>
        <v>0</v>
      </c>
      <c r="K86" s="67">
        <f t="shared" si="15"/>
        <v>0</v>
      </c>
      <c r="L86" s="50">
        <f>COUNTIFS('Self-Assessment_Cases'!$E$4:$E$657,"PL-1",'Self-Assessment_Cases'!$I4:$I657,"Not Implemented - Risk Negligible")</f>
        <v>0</v>
      </c>
      <c r="M86" s="56">
        <f t="shared" si="16"/>
        <v>0</v>
      </c>
      <c r="N86" s="57">
        <f>COUNTIFS('Self-Assessment_Cases'!$E$4:$E$657,"PL-1",'Self-Assessment_Cases'!$I4:$I657,"Not Implemented - Risk Accepted")</f>
        <v>0</v>
      </c>
      <c r="O86" s="57">
        <f t="shared" si="17"/>
        <v>0</v>
      </c>
      <c r="P86" s="58">
        <f>COUNTIFS('Self-Assessment_Cases'!$E$4:$E$657,"PL-1",'Self-Assessment_Cases'!$I4:$I657,"Not Implemented - Planned")</f>
        <v>0</v>
      </c>
      <c r="Q86" s="58">
        <f t="shared" si="18"/>
        <v>0</v>
      </c>
      <c r="R86" s="59">
        <f>COUNTIFS('Self-Assessment_Cases'!$E$4:$E$657,"PL-1",'Self-Assessment_Cases'!$I4:$I657,"Not Implemented - Unplanned")</f>
        <v>0</v>
      </c>
      <c r="S86" s="59">
        <f t="shared" si="19"/>
        <v>0</v>
      </c>
      <c r="T86" s="60">
        <f>COUNTIFS('Self-Assessment_Cases'!$E$4:$E$657,"PL-1",'Self-Assessment_Cases'!$I4:$I657,"Not Applicable")</f>
        <v>0</v>
      </c>
      <c r="U86" s="61"/>
      <c r="V86" s="68" t="e">
        <f t="shared" si="20"/>
        <v>#REF!</v>
      </c>
      <c r="W86" s="44" t="e">
        <f t="shared" si="21"/>
        <v>#REF!</v>
      </c>
    </row>
    <row r="87" spans="1:23" x14ac:dyDescent="0.2">
      <c r="A87" s="45" t="s">
        <v>1517</v>
      </c>
      <c r="B87" s="46" t="e">
        <f>COUNTIF('Self-Assessment_Cases'!#REF!,"*"&amp;A87&amp;"*")</f>
        <v>#REF!</v>
      </c>
      <c r="C87" s="63" t="e">
        <f t="shared" si="11"/>
        <v>#REF!</v>
      </c>
      <c r="D87" s="47">
        <f>COUNTIFS('Self-Assessment_Cases'!$E$4:$E$657,"PL-2",'Self-Assessment_Cases'!$I4:$I657,"In Progress - Administrative")</f>
        <v>0</v>
      </c>
      <c r="E87" s="64">
        <f t="shared" si="12"/>
        <v>0</v>
      </c>
      <c r="F87" s="62">
        <f>COUNTIFS('Self-Assessment_Cases'!$E$4:$E$657,"PL-2",'Self-Assessment_Cases'!$I4:$I657,"In Progress - Configuration")</f>
        <v>0</v>
      </c>
      <c r="G87" s="65">
        <f t="shared" si="13"/>
        <v>0</v>
      </c>
      <c r="H87" s="48">
        <f>COUNTIFS('Self-Assessment_Cases'!$E$4:$E$657,"PL-2",'Self-Assessment_Cases'!$I4:$I657,"In Progress - Installation/Upgrade")</f>
        <v>0</v>
      </c>
      <c r="I87" s="66">
        <f t="shared" si="14"/>
        <v>0</v>
      </c>
      <c r="J87" s="49">
        <f>COUNTIFS('Self-Assessment_Cases'!$E$4:$E$657,"PL-2",'Self-Assessment_Cases'!$I4:$I657,"Not Implemented - Compensating Control")</f>
        <v>0</v>
      </c>
      <c r="K87" s="67">
        <f t="shared" si="15"/>
        <v>0</v>
      </c>
      <c r="L87" s="50">
        <f>COUNTIFS('Self-Assessment_Cases'!$E$4:$E$657,"PL-2",'Self-Assessment_Cases'!$I4:$I657,"Not Implemented - Risk Negligible")</f>
        <v>0</v>
      </c>
      <c r="M87" s="56">
        <f t="shared" si="16"/>
        <v>0</v>
      </c>
      <c r="N87" s="57">
        <f>COUNTIFS('Self-Assessment_Cases'!$E$4:$E$657,"PL-2",'Self-Assessment_Cases'!$I4:$I657,"Not Implemented - Risk Accepted")</f>
        <v>0</v>
      </c>
      <c r="O87" s="57">
        <f t="shared" si="17"/>
        <v>0</v>
      </c>
      <c r="P87" s="58">
        <f>COUNTIFS('Self-Assessment_Cases'!$E$4:$E$657,"PL-2",'Self-Assessment_Cases'!$I4:$I657,"Not Implemented - Planned")</f>
        <v>0</v>
      </c>
      <c r="Q87" s="58">
        <f t="shared" si="18"/>
        <v>0</v>
      </c>
      <c r="R87" s="59">
        <f>COUNTIFS('Self-Assessment_Cases'!$E$4:$E$657,"PL-2",'Self-Assessment_Cases'!$I4:$I657,"Not Implemented - Unplanned")</f>
        <v>0</v>
      </c>
      <c r="S87" s="59">
        <f t="shared" si="19"/>
        <v>0</v>
      </c>
      <c r="T87" s="60">
        <f>COUNTIFS('Self-Assessment_Cases'!$E$4:$E$657,"PL-2",'Self-Assessment_Cases'!$I4:$I657,"Not Applicable")</f>
        <v>0</v>
      </c>
      <c r="U87" s="61"/>
      <c r="V87" s="68" t="e">
        <f t="shared" si="20"/>
        <v>#REF!</v>
      </c>
      <c r="W87" s="44" t="e">
        <f t="shared" si="21"/>
        <v>#REF!</v>
      </c>
    </row>
    <row r="88" spans="1:23" x14ac:dyDescent="0.2">
      <c r="A88" s="45" t="s">
        <v>1518</v>
      </c>
      <c r="B88" s="46" t="e">
        <f>COUNTIF('Self-Assessment_Cases'!#REF!,"*"&amp;A88&amp;"*")</f>
        <v>#REF!</v>
      </c>
      <c r="C88" s="63" t="e">
        <f t="shared" si="11"/>
        <v>#REF!</v>
      </c>
      <c r="D88" s="47">
        <f>COUNTIFS('Self-Assessment_Cases'!$E$4:$E$657,"PL-4",'Self-Assessment_Cases'!$I4:$I657,"In Progress - Administrative")</f>
        <v>0</v>
      </c>
      <c r="E88" s="64">
        <f t="shared" si="12"/>
        <v>0</v>
      </c>
      <c r="F88" s="62">
        <f>COUNTIFS('Self-Assessment_Cases'!$E$4:$E$657,"PL-4",'Self-Assessment_Cases'!$I4:$I657,"In Progress - Configuration")</f>
        <v>0</v>
      </c>
      <c r="G88" s="65">
        <f t="shared" si="13"/>
        <v>0</v>
      </c>
      <c r="H88" s="48">
        <f>COUNTIFS('Self-Assessment_Cases'!$E$4:$E$657,"PL-4",'Self-Assessment_Cases'!$I4:$I657,"In Progress - Installation/Upgrade")</f>
        <v>0</v>
      </c>
      <c r="I88" s="66">
        <f t="shared" si="14"/>
        <v>0</v>
      </c>
      <c r="J88" s="49">
        <f>COUNTIFS('Self-Assessment_Cases'!$E$4:$E$657,"PL-4",'Self-Assessment_Cases'!$I4:$I657,"Not Implemented - Compensating Control")</f>
        <v>0</v>
      </c>
      <c r="K88" s="67">
        <f t="shared" si="15"/>
        <v>0</v>
      </c>
      <c r="L88" s="50">
        <f>COUNTIFS('Self-Assessment_Cases'!$E$4:$E$657,"PL-4",'Self-Assessment_Cases'!$I4:$I657,"Not Implemented - Risk Negligible")</f>
        <v>0</v>
      </c>
      <c r="M88" s="56">
        <f t="shared" si="16"/>
        <v>0</v>
      </c>
      <c r="N88" s="57">
        <f>COUNTIFS('Self-Assessment_Cases'!$E$4:$E$657,"PL-4",'Self-Assessment_Cases'!$I4:$I657,"Not Implemented - Risk Accepted")</f>
        <v>0</v>
      </c>
      <c r="O88" s="57">
        <f t="shared" si="17"/>
        <v>0</v>
      </c>
      <c r="P88" s="58">
        <f>COUNTIFS('Self-Assessment_Cases'!$E$4:$E$657,"PL-4",'Self-Assessment_Cases'!$I4:$I657,"Not Implemented - Planned")</f>
        <v>0</v>
      </c>
      <c r="Q88" s="58">
        <f t="shared" si="18"/>
        <v>0</v>
      </c>
      <c r="R88" s="59">
        <f>COUNTIFS('Self-Assessment_Cases'!$E$4:$E$657,"PL-4",'Self-Assessment_Cases'!$I4:$I657,"Not Implemented - Unplanned")</f>
        <v>0</v>
      </c>
      <c r="S88" s="59">
        <f t="shared" si="19"/>
        <v>0</v>
      </c>
      <c r="T88" s="60">
        <f>COUNTIFS('Self-Assessment_Cases'!$E$4:$E$657,"PL-4",'Self-Assessment_Cases'!$I4:$I657,"Not Applicable")</f>
        <v>0</v>
      </c>
      <c r="U88" s="61"/>
      <c r="V88" s="68" t="e">
        <f t="shared" si="20"/>
        <v>#REF!</v>
      </c>
      <c r="W88" s="44" t="e">
        <f t="shared" si="21"/>
        <v>#REF!</v>
      </c>
    </row>
    <row r="89" spans="1:23" ht="15" customHeight="1" x14ac:dyDescent="0.2">
      <c r="A89" s="45" t="s">
        <v>1519</v>
      </c>
      <c r="B89" s="46" t="e">
        <f>COUNTIF('Self-Assessment_Cases'!#REF!,"*"&amp;A89&amp;"*")</f>
        <v>#REF!</v>
      </c>
      <c r="C89" s="63" t="e">
        <f t="shared" si="11"/>
        <v>#REF!</v>
      </c>
      <c r="D89" s="47">
        <f>COUNTIFS('Self-Assessment_Cases'!$E$4:$E$657,"PL-8",'Self-Assessment_Cases'!$I4:$I657,"In Progress - Administrative")</f>
        <v>0</v>
      </c>
      <c r="E89" s="64">
        <f t="shared" si="12"/>
        <v>0</v>
      </c>
      <c r="F89" s="62">
        <f>COUNTIFS('Self-Assessment_Cases'!$E$4:$E$657,"PL-8",'Self-Assessment_Cases'!$I4:$I657,"In Progress - Configuration")</f>
        <v>0</v>
      </c>
      <c r="G89" s="65">
        <f t="shared" si="13"/>
        <v>0</v>
      </c>
      <c r="H89" s="48">
        <f>COUNTIFS('Self-Assessment_Cases'!$E$4:$E$657,"PL-8",'Self-Assessment_Cases'!$I4:$I657,"In Progress - Installation/Upgrade")</f>
        <v>0</v>
      </c>
      <c r="I89" s="66">
        <f t="shared" si="14"/>
        <v>0</v>
      </c>
      <c r="J89" s="49">
        <f>COUNTIFS('Self-Assessment_Cases'!$E$4:$E$657,"PL-8",'Self-Assessment_Cases'!$I4:$I657,"Not Implemented - Compensating Control")</f>
        <v>0</v>
      </c>
      <c r="K89" s="67">
        <f t="shared" si="15"/>
        <v>0</v>
      </c>
      <c r="L89" s="50">
        <f>COUNTIFS('Self-Assessment_Cases'!$E$4:$E$657,"PL-8",'Self-Assessment_Cases'!$I4:$I657,"Not Implemented - Risk Negligible")</f>
        <v>0</v>
      </c>
      <c r="M89" s="56">
        <f t="shared" si="16"/>
        <v>0</v>
      </c>
      <c r="N89" s="57">
        <f>COUNTIFS('Self-Assessment_Cases'!$E$4:$E$657,"PL-8",'Self-Assessment_Cases'!$I4:$I657,"Not Implemented - Risk Accepted")</f>
        <v>0</v>
      </c>
      <c r="O89" s="57">
        <f t="shared" si="17"/>
        <v>0</v>
      </c>
      <c r="P89" s="58">
        <f>COUNTIFS('Self-Assessment_Cases'!$E$4:$E$657,"PL-8",'Self-Assessment_Cases'!$I4:$I657,"Not Implemented - Planned")</f>
        <v>0</v>
      </c>
      <c r="Q89" s="58">
        <f t="shared" si="18"/>
        <v>0</v>
      </c>
      <c r="R89" s="59">
        <f>COUNTIFS('Self-Assessment_Cases'!$E$4:$E$657,"PL-8",'Self-Assessment_Cases'!$I4:$I657,"Not Implemented - Unplanned")</f>
        <v>0</v>
      </c>
      <c r="S89" s="59">
        <f t="shared" si="19"/>
        <v>0</v>
      </c>
      <c r="T89" s="60">
        <f>COUNTIFS('Self-Assessment_Cases'!$E$4:$E$657,"PL-8",'Self-Assessment_Cases'!$I4:$I657,"Not Applicable")</f>
        <v>0</v>
      </c>
      <c r="U89" s="61"/>
      <c r="V89" s="68" t="e">
        <f t="shared" si="20"/>
        <v>#REF!</v>
      </c>
      <c r="W89" s="44" t="e">
        <f t="shared" si="21"/>
        <v>#REF!</v>
      </c>
    </row>
    <row r="90" spans="1:23" ht="15" customHeight="1" x14ac:dyDescent="0.2">
      <c r="A90" s="45" t="s">
        <v>1520</v>
      </c>
      <c r="B90" s="46" t="e">
        <f>COUNTIF('Self-Assessment_Cases'!#REF!,"*"&amp;A90&amp;"*")</f>
        <v>#REF!</v>
      </c>
      <c r="C90" s="63" t="e">
        <f t="shared" si="11"/>
        <v>#REF!</v>
      </c>
      <c r="D90" s="47">
        <f>COUNTIFS('Self-Assessment_Cases'!$E$4:$E$657,"PM-1",'Self-Assessment_Cases'!$I4:$I657,"In Progress - Administrative")</f>
        <v>0</v>
      </c>
      <c r="E90" s="64">
        <f t="shared" si="12"/>
        <v>0</v>
      </c>
      <c r="F90" s="62">
        <f>COUNTIFS('Self-Assessment_Cases'!$E$4:$E$657,"PM-1",'Self-Assessment_Cases'!$I4:$I657,"In Progress - Configuration")</f>
        <v>0</v>
      </c>
      <c r="G90" s="65">
        <f t="shared" si="13"/>
        <v>0</v>
      </c>
      <c r="H90" s="48">
        <f>COUNTIFS('Self-Assessment_Cases'!$E$4:$E$657,"PM-1",'Self-Assessment_Cases'!$I4:$I657,"In Progress - Installation/Upgrade")</f>
        <v>0</v>
      </c>
      <c r="I90" s="66">
        <f t="shared" si="14"/>
        <v>0</v>
      </c>
      <c r="J90" s="49">
        <f>COUNTIFS('Self-Assessment_Cases'!$E$4:$E$657,"PM-1",'Self-Assessment_Cases'!$I4:$I657,"Not Implemented - Compensating Control")</f>
        <v>0</v>
      </c>
      <c r="K90" s="67">
        <f t="shared" si="15"/>
        <v>0</v>
      </c>
      <c r="L90" s="50">
        <f>COUNTIFS('Self-Assessment_Cases'!$E$4:$E$657,"PM-1",'Self-Assessment_Cases'!$I4:$I657,"Not Implemented - Risk Negligible")</f>
        <v>0</v>
      </c>
      <c r="M90" s="56">
        <f t="shared" si="16"/>
        <v>0</v>
      </c>
      <c r="N90" s="57">
        <f>COUNTIFS('Self-Assessment_Cases'!$E$4:$E$657,"PM-1",'Self-Assessment_Cases'!$I4:$I657,"Not Implemented - Risk Accepted")</f>
        <v>0</v>
      </c>
      <c r="O90" s="57">
        <f t="shared" si="17"/>
        <v>0</v>
      </c>
      <c r="P90" s="58">
        <f>COUNTIFS('Self-Assessment_Cases'!$E$4:$E$657,"PM-1",'Self-Assessment_Cases'!$I4:$I657,"Not Implemented - Planned")</f>
        <v>0</v>
      </c>
      <c r="Q90" s="58">
        <f t="shared" si="18"/>
        <v>0</v>
      </c>
      <c r="R90" s="59">
        <f>COUNTIFS('Self-Assessment_Cases'!$E$4:$E$657,"PM-1",'Self-Assessment_Cases'!$I4:$I657,"Not Implemented - Unplanned")</f>
        <v>0</v>
      </c>
      <c r="S90" s="59">
        <f t="shared" si="19"/>
        <v>0</v>
      </c>
      <c r="T90" s="60">
        <f>COUNTIFS('Self-Assessment_Cases'!$E$4:$E$657,"PM-1",'Self-Assessment_Cases'!$I4:$I657,"Not Applicable")</f>
        <v>0</v>
      </c>
      <c r="U90" s="61"/>
      <c r="V90" s="68" t="e">
        <f t="shared" si="20"/>
        <v>#REF!</v>
      </c>
      <c r="W90" s="44" t="e">
        <f t="shared" si="21"/>
        <v>#REF!</v>
      </c>
    </row>
    <row r="91" spans="1:23" ht="15" customHeight="1" x14ac:dyDescent="0.2">
      <c r="A91" s="45" t="s">
        <v>1521</v>
      </c>
      <c r="B91" s="46" t="e">
        <f>COUNTIF('Self-Assessment_Cases'!#REF!,"*"&amp;A91&amp;"*")</f>
        <v>#REF!</v>
      </c>
      <c r="C91" s="63" t="e">
        <f t="shared" si="11"/>
        <v>#REF!</v>
      </c>
      <c r="D91" s="47">
        <f>COUNTIFS('Self-Assessment_Cases'!$E$4:$E$657,"PM-11",'Self-Assessment_Cases'!$I4:$I657,"In Progress - Administrative")</f>
        <v>0</v>
      </c>
      <c r="E91" s="64">
        <f t="shared" si="12"/>
        <v>0</v>
      </c>
      <c r="F91" s="62">
        <f>COUNTIFS('Self-Assessment_Cases'!$E$4:$E$657,"PM-11",'Self-Assessment_Cases'!$I4:$I657,"In Progress - Configuration")</f>
        <v>0</v>
      </c>
      <c r="G91" s="65">
        <f t="shared" si="13"/>
        <v>0</v>
      </c>
      <c r="H91" s="48">
        <f>COUNTIFS('Self-Assessment_Cases'!$E$4:$E$657,"PM-11",'Self-Assessment_Cases'!$I4:$I657,"In Progress - Installation/Upgrade")</f>
        <v>0</v>
      </c>
      <c r="I91" s="66">
        <f t="shared" si="14"/>
        <v>0</v>
      </c>
      <c r="J91" s="49">
        <f>COUNTIFS('Self-Assessment_Cases'!$E$4:$E$657,"PM-11",'Self-Assessment_Cases'!$I4:$I657,"Not Implemented - Compensating Control")</f>
        <v>0</v>
      </c>
      <c r="K91" s="67">
        <f t="shared" si="15"/>
        <v>0</v>
      </c>
      <c r="L91" s="50">
        <f>COUNTIFS('Self-Assessment_Cases'!$E$4:$E$657,"PM-11",'Self-Assessment_Cases'!$I4:$I657,"Not Implemented - Risk Negligible")</f>
        <v>0</v>
      </c>
      <c r="M91" s="56">
        <f t="shared" si="16"/>
        <v>0</v>
      </c>
      <c r="N91" s="57">
        <f>COUNTIFS('Self-Assessment_Cases'!$E$4:$E$657,"PM-11",'Self-Assessment_Cases'!$I4:$I657,"Not Implemented - Risk Accepted")</f>
        <v>0</v>
      </c>
      <c r="O91" s="57">
        <f t="shared" si="17"/>
        <v>0</v>
      </c>
      <c r="P91" s="58">
        <f>COUNTIFS('Self-Assessment_Cases'!$E$4:$E$657,"PM-11",'Self-Assessment_Cases'!$I4:$I657,"Not Implemented - Planned")</f>
        <v>0</v>
      </c>
      <c r="Q91" s="58">
        <f t="shared" si="18"/>
        <v>0</v>
      </c>
      <c r="R91" s="59">
        <f>COUNTIFS('Self-Assessment_Cases'!$E$4:$E$657,"PM-11",'Self-Assessment_Cases'!$I4:$I657,"Not Implemented - Unplanned")</f>
        <v>0</v>
      </c>
      <c r="S91" s="59">
        <f t="shared" si="19"/>
        <v>0</v>
      </c>
      <c r="T91" s="60">
        <f>COUNTIFS('Self-Assessment_Cases'!$E$4:$E$657,"PM-11",'Self-Assessment_Cases'!$I4:$I657,"Not Applicable")</f>
        <v>0</v>
      </c>
      <c r="U91" s="61"/>
      <c r="V91" s="68" t="e">
        <f t="shared" si="20"/>
        <v>#REF!</v>
      </c>
      <c r="W91" s="44" t="e">
        <f t="shared" si="21"/>
        <v>#REF!</v>
      </c>
    </row>
    <row r="92" spans="1:23" ht="15" customHeight="1" x14ac:dyDescent="0.2">
      <c r="A92" s="45" t="s">
        <v>1522</v>
      </c>
      <c r="B92" s="46" t="e">
        <f>COUNTIF('Self-Assessment_Cases'!#REF!,"*"&amp;A92&amp;"*")</f>
        <v>#REF!</v>
      </c>
      <c r="C92" s="63" t="e">
        <f t="shared" si="11"/>
        <v>#REF!</v>
      </c>
      <c r="D92" s="47">
        <f>COUNTIFS('Self-Assessment_Cases'!$E$4:$E$657,"PM-12",'Self-Assessment_Cases'!$I4:$I657,"In Progress - Administrative")</f>
        <v>0</v>
      </c>
      <c r="E92" s="64">
        <f t="shared" si="12"/>
        <v>0</v>
      </c>
      <c r="F92" s="62">
        <f>COUNTIFS('Self-Assessment_Cases'!$E$4:$E$657,"PM-12",'Self-Assessment_Cases'!$I4:$I657,"In Progress - Configuration")</f>
        <v>0</v>
      </c>
      <c r="G92" s="65">
        <f t="shared" si="13"/>
        <v>0</v>
      </c>
      <c r="H92" s="48">
        <f>COUNTIFS('Self-Assessment_Cases'!$E$4:$E$657,"PM-12",'Self-Assessment_Cases'!$I4:$I657,"In Progress - Installation/Upgrade")</f>
        <v>0</v>
      </c>
      <c r="I92" s="66">
        <f t="shared" si="14"/>
        <v>0</v>
      </c>
      <c r="J92" s="49">
        <f>COUNTIFS('Self-Assessment_Cases'!$E$4:$E$657,"PM-12",'Self-Assessment_Cases'!$I4:$I657,"Not Implemented - Compensating Control")</f>
        <v>0</v>
      </c>
      <c r="K92" s="67">
        <f t="shared" si="15"/>
        <v>0</v>
      </c>
      <c r="L92" s="50">
        <f>COUNTIFS('Self-Assessment_Cases'!$E$4:$E$657,"PM-12",'Self-Assessment_Cases'!$I4:$I657,"Not Implemented - Risk Negligible")</f>
        <v>0</v>
      </c>
      <c r="M92" s="56">
        <f t="shared" si="16"/>
        <v>0</v>
      </c>
      <c r="N92" s="57">
        <f>COUNTIFS('Self-Assessment_Cases'!$E$4:$E$657,"PM-12",'Self-Assessment_Cases'!$I4:$I657,"Not Implemented - Risk Accepted")</f>
        <v>0</v>
      </c>
      <c r="O92" s="57">
        <f t="shared" si="17"/>
        <v>0</v>
      </c>
      <c r="P92" s="58">
        <f>COUNTIFS('Self-Assessment_Cases'!$E$4:$E$657,"PM-12",'Self-Assessment_Cases'!$I4:$I657,"Not Implemented - Planned")</f>
        <v>0</v>
      </c>
      <c r="Q92" s="58">
        <f t="shared" si="18"/>
        <v>0</v>
      </c>
      <c r="R92" s="59">
        <f>COUNTIFS('Self-Assessment_Cases'!$E$4:$E$657,"PM-12",'Self-Assessment_Cases'!$I4:$I657,"Not Implemented - Unplanned")</f>
        <v>0</v>
      </c>
      <c r="S92" s="59">
        <f t="shared" si="19"/>
        <v>0</v>
      </c>
      <c r="T92" s="60">
        <f>COUNTIFS('Self-Assessment_Cases'!$E$4:$E$657,"PM-12",'Self-Assessment_Cases'!$I4:$I657,"Not Applicable")</f>
        <v>0</v>
      </c>
      <c r="U92" s="61"/>
      <c r="V92" s="68" t="e">
        <f t="shared" si="20"/>
        <v>#REF!</v>
      </c>
      <c r="W92" s="44" t="e">
        <f t="shared" si="21"/>
        <v>#REF!</v>
      </c>
    </row>
    <row r="93" spans="1:23" ht="15" customHeight="1" x14ac:dyDescent="0.2">
      <c r="A93" s="45" t="s">
        <v>1450</v>
      </c>
      <c r="B93" s="46" t="e">
        <f>COUNTIF('Self-Assessment_Cases'!#REF!,"*"&amp;A93&amp;"*")</f>
        <v>#REF!</v>
      </c>
      <c r="C93" s="63" t="e">
        <f t="shared" si="11"/>
        <v>#REF!</v>
      </c>
      <c r="D93" s="47">
        <f>COUNTIFS('Self-Assessment_Cases'!$E$4:$E$657,"PM-13",'Self-Assessment_Cases'!$I4:$I657,"In Progress - Administrative")</f>
        <v>0</v>
      </c>
      <c r="E93" s="64">
        <f t="shared" si="12"/>
        <v>0</v>
      </c>
      <c r="F93" s="62">
        <f>COUNTIFS('Self-Assessment_Cases'!$E$4:$E$657,"PM-13",'Self-Assessment_Cases'!$I4:$I657,"In Progress - Configuration")</f>
        <v>0</v>
      </c>
      <c r="G93" s="65">
        <f t="shared" si="13"/>
        <v>0</v>
      </c>
      <c r="H93" s="48">
        <f>COUNTIFS('Self-Assessment_Cases'!$E$4:$E$657,"PM-13",'Self-Assessment_Cases'!$I4:$I657,"In Progress - Installation/Upgrade")</f>
        <v>0</v>
      </c>
      <c r="I93" s="66">
        <f t="shared" si="14"/>
        <v>0</v>
      </c>
      <c r="J93" s="49">
        <f>COUNTIFS('Self-Assessment_Cases'!$E$4:$E$657,"PM-13",'Self-Assessment_Cases'!$I4:$I657,"Not Implemented - Compensating Control")</f>
        <v>0</v>
      </c>
      <c r="K93" s="67">
        <f t="shared" si="15"/>
        <v>0</v>
      </c>
      <c r="L93" s="50">
        <f>COUNTIFS('Self-Assessment_Cases'!$E$4:$E$657,"PM-13",'Self-Assessment_Cases'!$I4:$I657,"Not Implemented - Risk Negligible")</f>
        <v>0</v>
      </c>
      <c r="M93" s="56">
        <f t="shared" si="16"/>
        <v>0</v>
      </c>
      <c r="N93" s="57">
        <f>COUNTIFS('Self-Assessment_Cases'!$E$4:$E$657,"PM-13",'Self-Assessment_Cases'!$I4:$I657,"Not Implemented - Risk Accepted")</f>
        <v>0</v>
      </c>
      <c r="O93" s="57">
        <f t="shared" si="17"/>
        <v>0</v>
      </c>
      <c r="P93" s="58">
        <f>COUNTIFS('Self-Assessment_Cases'!$E$4:$E$657,"PM-13",'Self-Assessment_Cases'!$I4:$I657,"Not Implemented - Planned")</f>
        <v>0</v>
      </c>
      <c r="Q93" s="58">
        <f t="shared" si="18"/>
        <v>0</v>
      </c>
      <c r="R93" s="59">
        <f>COUNTIFS('Self-Assessment_Cases'!$E$4:$E$657,"PM-13",'Self-Assessment_Cases'!$I4:$I657,"Not Implemented - Unplanned")</f>
        <v>0</v>
      </c>
      <c r="S93" s="59">
        <f t="shared" si="19"/>
        <v>0</v>
      </c>
      <c r="T93" s="60">
        <f>COUNTIFS('Self-Assessment_Cases'!$E$4:$E$657,"PM-13",'Self-Assessment_Cases'!$I4:$I657,"Not Applicable")</f>
        <v>0</v>
      </c>
      <c r="U93" s="61"/>
      <c r="V93" s="68" t="e">
        <f t="shared" si="20"/>
        <v>#REF!</v>
      </c>
      <c r="W93" s="44" t="e">
        <f t="shared" si="21"/>
        <v>#REF!</v>
      </c>
    </row>
    <row r="94" spans="1:23" ht="15" customHeight="1" x14ac:dyDescent="0.2">
      <c r="A94" s="45" t="s">
        <v>1451</v>
      </c>
      <c r="B94" s="46" t="e">
        <f>COUNTIF('Self-Assessment_Cases'!#REF!,"*"&amp;A94&amp;"*")</f>
        <v>#REF!</v>
      </c>
      <c r="C94" s="63" t="e">
        <f t="shared" si="11"/>
        <v>#REF!</v>
      </c>
      <c r="D94" s="47">
        <f>COUNTIFS('Self-Assessment_Cases'!$E$4:$E$657,"PM-14",'Self-Assessment_Cases'!$I4:$I657,"In Progress - Administrative")</f>
        <v>0</v>
      </c>
      <c r="E94" s="64">
        <f t="shared" si="12"/>
        <v>0</v>
      </c>
      <c r="F94" s="62">
        <f>COUNTIFS('Self-Assessment_Cases'!$E$4:$E$657,"PM-14",'Self-Assessment_Cases'!$I4:$I657,"In Progress - Configuration")</f>
        <v>0</v>
      </c>
      <c r="G94" s="65">
        <f t="shared" si="13"/>
        <v>0</v>
      </c>
      <c r="H94" s="48">
        <f>COUNTIFS('Self-Assessment_Cases'!$E$4:$E$657,"PM-14",'Self-Assessment_Cases'!$I4:$I657,"In Progress - Installation/Upgrade")</f>
        <v>0</v>
      </c>
      <c r="I94" s="66">
        <f t="shared" si="14"/>
        <v>0</v>
      </c>
      <c r="J94" s="49">
        <f>COUNTIFS('Self-Assessment_Cases'!$E$4:$E$657,"PM-14",'Self-Assessment_Cases'!$I4:$I657,"Not Implemented - Compensating Control")</f>
        <v>0</v>
      </c>
      <c r="K94" s="67">
        <f t="shared" si="15"/>
        <v>0</v>
      </c>
      <c r="L94" s="50">
        <f>COUNTIFS('Self-Assessment_Cases'!$E$4:$E$657,"PM-14",'Self-Assessment_Cases'!$I4:$I657,"Not Implemented - Risk Negligible")</f>
        <v>0</v>
      </c>
      <c r="M94" s="56">
        <f t="shared" si="16"/>
        <v>0</v>
      </c>
      <c r="N94" s="57">
        <f>COUNTIFS('Self-Assessment_Cases'!$E$4:$E$657,"PM-14",'Self-Assessment_Cases'!$I4:$I657,"Not Implemented - Risk Accepted")</f>
        <v>0</v>
      </c>
      <c r="O94" s="57">
        <f t="shared" si="17"/>
        <v>0</v>
      </c>
      <c r="P94" s="58">
        <f>COUNTIFS('Self-Assessment_Cases'!$E$4:$E$657,"PM-14",'Self-Assessment_Cases'!$I4:$I657,"Not Implemented - Planned")</f>
        <v>0</v>
      </c>
      <c r="Q94" s="58">
        <f t="shared" si="18"/>
        <v>0</v>
      </c>
      <c r="R94" s="59">
        <f>COUNTIFS('Self-Assessment_Cases'!$E$4:$E$657,"PM-14",'Self-Assessment_Cases'!$I4:$I657,"Not Implemented - Unplanned")</f>
        <v>0</v>
      </c>
      <c r="S94" s="59">
        <f t="shared" si="19"/>
        <v>0</v>
      </c>
      <c r="T94" s="60">
        <f>COUNTIFS('Self-Assessment_Cases'!$E$4:$E$657,"PM-14",'Self-Assessment_Cases'!$I4:$I657,"Not Applicable")</f>
        <v>0</v>
      </c>
      <c r="U94" s="61"/>
      <c r="V94" s="68" t="e">
        <f t="shared" si="20"/>
        <v>#REF!</v>
      </c>
      <c r="W94" s="44" t="e">
        <f t="shared" si="21"/>
        <v>#REF!</v>
      </c>
    </row>
    <row r="95" spans="1:23" ht="15" customHeight="1" x14ac:dyDescent="0.2">
      <c r="A95" s="45" t="s">
        <v>1523</v>
      </c>
      <c r="B95" s="46" t="e">
        <f>COUNTIF('Self-Assessment_Cases'!#REF!,"*"&amp;A95&amp;"*")</f>
        <v>#REF!</v>
      </c>
      <c r="C95" s="63" t="e">
        <f t="shared" si="11"/>
        <v>#REF!</v>
      </c>
      <c r="D95" s="47">
        <f>COUNTIFS('Self-Assessment_Cases'!$E$4:$E$657,"PM-15",'Self-Assessment_Cases'!$I4:$I657,"In Progress - Administrative")</f>
        <v>0</v>
      </c>
      <c r="E95" s="64">
        <f t="shared" si="12"/>
        <v>0</v>
      </c>
      <c r="F95" s="62">
        <f>COUNTIFS('Self-Assessment_Cases'!$E$4:$E$657,"PM-15",'Self-Assessment_Cases'!$I4:$I657,"In Progress - Configuration")</f>
        <v>0</v>
      </c>
      <c r="G95" s="65">
        <f t="shared" si="13"/>
        <v>0</v>
      </c>
      <c r="H95" s="48">
        <f>COUNTIFS('Self-Assessment_Cases'!$E$4:$E$657,"PM-15",'Self-Assessment_Cases'!$I4:$I657,"In Progress - Installation/Upgrade")</f>
        <v>0</v>
      </c>
      <c r="I95" s="66">
        <f t="shared" si="14"/>
        <v>0</v>
      </c>
      <c r="J95" s="49">
        <f>COUNTIFS('Self-Assessment_Cases'!$E$4:$E$657,"PM-15",'Self-Assessment_Cases'!$I4:$I657,"Not Implemented - Compensating Control")</f>
        <v>0</v>
      </c>
      <c r="K95" s="67">
        <f t="shared" si="15"/>
        <v>0</v>
      </c>
      <c r="L95" s="50">
        <f>COUNTIFS('Self-Assessment_Cases'!$E$4:$E$657,"PM-15",'Self-Assessment_Cases'!$I4:$I657,"Not Implemented - Risk Negligible")</f>
        <v>0</v>
      </c>
      <c r="M95" s="56">
        <f t="shared" si="16"/>
        <v>0</v>
      </c>
      <c r="N95" s="57">
        <f>COUNTIFS('Self-Assessment_Cases'!$E$4:$E$657,"PM-15",'Self-Assessment_Cases'!$I4:$I657,"Not Implemented - Risk Accepted")</f>
        <v>0</v>
      </c>
      <c r="O95" s="57">
        <f t="shared" si="17"/>
        <v>0</v>
      </c>
      <c r="P95" s="58">
        <f>COUNTIFS('Self-Assessment_Cases'!$E$4:$E$657,"PM-15",'Self-Assessment_Cases'!$I4:$I657,"Not Implemented - Planned")</f>
        <v>0</v>
      </c>
      <c r="Q95" s="58">
        <f t="shared" si="18"/>
        <v>0</v>
      </c>
      <c r="R95" s="59">
        <f>COUNTIFS('Self-Assessment_Cases'!$E$4:$E$657,"PM-15",'Self-Assessment_Cases'!$I4:$I657,"Not Implemented - Unplanned")</f>
        <v>0</v>
      </c>
      <c r="S95" s="59">
        <f t="shared" si="19"/>
        <v>0</v>
      </c>
      <c r="T95" s="60">
        <f>COUNTIFS('Self-Assessment_Cases'!$E$4:$E$657,"PM-15",'Self-Assessment_Cases'!$I4:$I657,"Not Applicable")</f>
        <v>0</v>
      </c>
      <c r="U95" s="61"/>
      <c r="V95" s="68" t="e">
        <f t="shared" si="20"/>
        <v>#REF!</v>
      </c>
      <c r="W95" s="44" t="e">
        <f t="shared" si="21"/>
        <v>#REF!</v>
      </c>
    </row>
    <row r="96" spans="1:23" ht="15" customHeight="1" x14ac:dyDescent="0.2">
      <c r="A96" s="45" t="s">
        <v>1524</v>
      </c>
      <c r="B96" s="46" t="e">
        <f>COUNTIF('Self-Assessment_Cases'!#REF!,"*"&amp;A96&amp;"*")</f>
        <v>#REF!</v>
      </c>
      <c r="C96" s="63" t="e">
        <f t="shared" si="11"/>
        <v>#REF!</v>
      </c>
      <c r="D96" s="47">
        <f>COUNTIFS('Self-Assessment_Cases'!$E$4:$E$657,"PM-16",'Self-Assessment_Cases'!$I4:$I657,"In Progress - Administrative")</f>
        <v>0</v>
      </c>
      <c r="E96" s="64">
        <f t="shared" si="12"/>
        <v>0</v>
      </c>
      <c r="F96" s="62">
        <f>COUNTIFS('Self-Assessment_Cases'!$E$4:$E$657,"PM-16",'Self-Assessment_Cases'!$I4:$I657,"In Progress - Configuration")</f>
        <v>0</v>
      </c>
      <c r="G96" s="65">
        <f t="shared" si="13"/>
        <v>0</v>
      </c>
      <c r="H96" s="48">
        <f>COUNTIFS('Self-Assessment_Cases'!$E$4:$E$657,"PM-16",'Self-Assessment_Cases'!$I4:$I657,"In Progress - Installation/Upgrade")</f>
        <v>0</v>
      </c>
      <c r="I96" s="66">
        <f t="shared" si="14"/>
        <v>0</v>
      </c>
      <c r="J96" s="49">
        <f>COUNTIFS('Self-Assessment_Cases'!$E$4:$E$657,"PM-16",'Self-Assessment_Cases'!$I4:$I657,"Not Implemented - Compensating Control")</f>
        <v>0</v>
      </c>
      <c r="K96" s="67">
        <f t="shared" si="15"/>
        <v>0</v>
      </c>
      <c r="L96" s="50">
        <f>COUNTIFS('Self-Assessment_Cases'!$E$4:$E$657,"PM-16",'Self-Assessment_Cases'!$I4:$I657,"Not Implemented - Risk Negligible")</f>
        <v>0</v>
      </c>
      <c r="M96" s="56">
        <f t="shared" si="16"/>
        <v>0</v>
      </c>
      <c r="N96" s="57">
        <f>COUNTIFS('Self-Assessment_Cases'!$E$4:$E$657,"PM-16",'Self-Assessment_Cases'!$I4:$I657,"Not Implemented - Risk Accepted")</f>
        <v>0</v>
      </c>
      <c r="O96" s="57">
        <f t="shared" si="17"/>
        <v>0</v>
      </c>
      <c r="P96" s="58">
        <f>COUNTIFS('Self-Assessment_Cases'!$E$4:$E$657,"PM-16",'Self-Assessment_Cases'!$I4:$I657,"Not Implemented - Planned")</f>
        <v>0</v>
      </c>
      <c r="Q96" s="58">
        <f t="shared" si="18"/>
        <v>0</v>
      </c>
      <c r="R96" s="59">
        <f>COUNTIFS('Self-Assessment_Cases'!$E$4:$E$657,"PM-16",'Self-Assessment_Cases'!$I4:$I657,"Not Implemented - Unplanned")</f>
        <v>0</v>
      </c>
      <c r="S96" s="59">
        <f t="shared" si="19"/>
        <v>0</v>
      </c>
      <c r="T96" s="60">
        <f>COUNTIFS('Self-Assessment_Cases'!$E$4:$E$657,"PM-16",'Self-Assessment_Cases'!$I4:$I657,"Not Applicable")</f>
        <v>0</v>
      </c>
      <c r="U96" s="61"/>
      <c r="V96" s="68" t="e">
        <f t="shared" si="20"/>
        <v>#REF!</v>
      </c>
      <c r="W96" s="44" t="e">
        <f t="shared" si="21"/>
        <v>#REF!</v>
      </c>
    </row>
    <row r="97" spans="1:23" ht="15" customHeight="1" x14ac:dyDescent="0.2">
      <c r="A97" s="45" t="s">
        <v>1525</v>
      </c>
      <c r="B97" s="46" t="e">
        <f>COUNTIF('Self-Assessment_Cases'!#REF!,"*"&amp;A97&amp;"*")</f>
        <v>#REF!</v>
      </c>
      <c r="C97" s="63" t="e">
        <f t="shared" si="11"/>
        <v>#REF!</v>
      </c>
      <c r="D97" s="47">
        <f>COUNTIFS('Self-Assessment_Cases'!$E$4:$E$657,"PM-4",'Self-Assessment_Cases'!$I4:$I657,"In Progress - Administrative")</f>
        <v>0</v>
      </c>
      <c r="E97" s="64">
        <f t="shared" si="12"/>
        <v>0</v>
      </c>
      <c r="F97" s="62">
        <f>COUNTIFS('Self-Assessment_Cases'!$E$4:$E$657,"PM-4",'Self-Assessment_Cases'!$I4:$I657,"In Progress - Configuration")</f>
        <v>0</v>
      </c>
      <c r="G97" s="65">
        <f t="shared" si="13"/>
        <v>0</v>
      </c>
      <c r="H97" s="48">
        <f>COUNTIFS('Self-Assessment_Cases'!$E$4:$E$657,"PM-4",'Self-Assessment_Cases'!$I4:$I657,"In Progress - Installation/Upgrade")</f>
        <v>0</v>
      </c>
      <c r="I97" s="66">
        <f t="shared" si="14"/>
        <v>0</v>
      </c>
      <c r="J97" s="49">
        <f>COUNTIFS('Self-Assessment_Cases'!$E$4:$E$657,"PM-4",'Self-Assessment_Cases'!$I4:$I657,"Not Implemented - Compensating Control")</f>
        <v>0</v>
      </c>
      <c r="K97" s="67">
        <f t="shared" si="15"/>
        <v>0</v>
      </c>
      <c r="L97" s="50">
        <f>COUNTIFS('Self-Assessment_Cases'!$E$4:$E$657,"PM-4",'Self-Assessment_Cases'!$I4:$I657,"Not Implemented - Risk Negligible")</f>
        <v>0</v>
      </c>
      <c r="M97" s="56">
        <f t="shared" si="16"/>
        <v>0</v>
      </c>
      <c r="N97" s="57">
        <f>COUNTIFS('Self-Assessment_Cases'!$E$4:$E$657,"PM-4",'Self-Assessment_Cases'!$I4:$I657,"Not Implemented - Risk Accepted")</f>
        <v>0</v>
      </c>
      <c r="O97" s="57">
        <f t="shared" si="17"/>
        <v>0</v>
      </c>
      <c r="P97" s="58">
        <f>COUNTIFS('Self-Assessment_Cases'!$E$4:$E$657,"PM-4",'Self-Assessment_Cases'!$I4:$I657,"Not Implemented - Planned")</f>
        <v>0</v>
      </c>
      <c r="Q97" s="58">
        <f t="shared" si="18"/>
        <v>0</v>
      </c>
      <c r="R97" s="59">
        <f>COUNTIFS('Self-Assessment_Cases'!$E$4:$E$657,"PM-4",'Self-Assessment_Cases'!$I4:$I657,"Not Implemented - Unplanned")</f>
        <v>0</v>
      </c>
      <c r="S97" s="59">
        <f t="shared" si="19"/>
        <v>0</v>
      </c>
      <c r="T97" s="60">
        <f>COUNTIFS('Self-Assessment_Cases'!$E$4:$E$657,"PM-4",'Self-Assessment_Cases'!$I4:$I657,"Not Applicable")</f>
        <v>0</v>
      </c>
      <c r="U97" s="61"/>
      <c r="V97" s="68" t="e">
        <f t="shared" si="20"/>
        <v>#REF!</v>
      </c>
      <c r="W97" s="44" t="e">
        <f t="shared" si="21"/>
        <v>#REF!</v>
      </c>
    </row>
    <row r="98" spans="1:23" ht="15" customHeight="1" x14ac:dyDescent="0.2">
      <c r="A98" s="45" t="s">
        <v>1526</v>
      </c>
      <c r="B98" s="46" t="e">
        <f>COUNTIF('Self-Assessment_Cases'!#REF!,"*"&amp;A98&amp;"*")</f>
        <v>#REF!</v>
      </c>
      <c r="C98" s="63" t="e">
        <f t="shared" si="11"/>
        <v>#REF!</v>
      </c>
      <c r="D98" s="47">
        <f>COUNTIFS('Self-Assessment_Cases'!$E$4:$E$657,"PM-6",'Self-Assessment_Cases'!$I4:$I657,"In Progress - Administrative")</f>
        <v>0</v>
      </c>
      <c r="E98" s="64">
        <f t="shared" si="12"/>
        <v>0</v>
      </c>
      <c r="F98" s="62">
        <f>COUNTIFS('Self-Assessment_Cases'!$E$4:$E$657,"PM-6",'Self-Assessment_Cases'!$I4:$I657,"In Progress - Configuration")</f>
        <v>0</v>
      </c>
      <c r="G98" s="65">
        <f t="shared" si="13"/>
        <v>0</v>
      </c>
      <c r="H98" s="48">
        <f>COUNTIFS('Self-Assessment_Cases'!$E$4:$E$657,"PM-6",'Self-Assessment_Cases'!$I4:$I657,"In Progress - Installation/Upgrade")</f>
        <v>0</v>
      </c>
      <c r="I98" s="66">
        <f t="shared" si="14"/>
        <v>0</v>
      </c>
      <c r="J98" s="49">
        <f>COUNTIFS('Self-Assessment_Cases'!$E$4:$E$657,"PM-6",'Self-Assessment_Cases'!$I4:$I657,"Not Implemented - Compensating Control")</f>
        <v>0</v>
      </c>
      <c r="K98" s="67">
        <f t="shared" si="15"/>
        <v>0</v>
      </c>
      <c r="L98" s="50">
        <f>COUNTIFS('Self-Assessment_Cases'!$E$4:$E$657,"PM-6",'Self-Assessment_Cases'!$I4:$I657,"Not Implemented - Risk Negligible")</f>
        <v>0</v>
      </c>
      <c r="M98" s="56">
        <f t="shared" si="16"/>
        <v>0</v>
      </c>
      <c r="N98" s="57">
        <f>COUNTIFS('Self-Assessment_Cases'!$E$4:$E$657,"PM-6",'Self-Assessment_Cases'!$I4:$I657,"Not Implemented - Risk Accepted")</f>
        <v>0</v>
      </c>
      <c r="O98" s="57">
        <f t="shared" si="17"/>
        <v>0</v>
      </c>
      <c r="P98" s="58">
        <f>COUNTIFS('Self-Assessment_Cases'!$E$4:$E$657,"PM-6",'Self-Assessment_Cases'!$I4:$I657,"Not Implemented - Planned")</f>
        <v>0</v>
      </c>
      <c r="Q98" s="58">
        <f t="shared" si="18"/>
        <v>0</v>
      </c>
      <c r="R98" s="59">
        <f>COUNTIFS('Self-Assessment_Cases'!$E$4:$E$657,"PM-6",'Self-Assessment_Cases'!$I4:$I657,"Not Implemented - Unplanned")</f>
        <v>0</v>
      </c>
      <c r="S98" s="59">
        <f t="shared" si="19"/>
        <v>0</v>
      </c>
      <c r="T98" s="60">
        <f>COUNTIFS('Self-Assessment_Cases'!$E$4:$E$657,"PM-6",'Self-Assessment_Cases'!$I4:$I657,"Not Applicable")</f>
        <v>0</v>
      </c>
      <c r="U98" s="61"/>
      <c r="V98" s="68" t="e">
        <f t="shared" si="20"/>
        <v>#REF!</v>
      </c>
      <c r="W98" s="44" t="e">
        <f t="shared" si="21"/>
        <v>#REF!</v>
      </c>
    </row>
    <row r="99" spans="1:23" ht="15" customHeight="1" x14ac:dyDescent="0.2">
      <c r="A99" s="45" t="s">
        <v>1527</v>
      </c>
      <c r="B99" s="46" t="e">
        <f>COUNTIF('Self-Assessment_Cases'!#REF!,"*"&amp;A99&amp;"*")</f>
        <v>#REF!</v>
      </c>
      <c r="C99" s="63" t="e">
        <f t="shared" si="11"/>
        <v>#REF!</v>
      </c>
      <c r="D99" s="47">
        <f>COUNTIFS('Self-Assessment_Cases'!$E$4:$E$657,"PM-8",'Self-Assessment_Cases'!$I4:$I657,"In Progress - Administrative")</f>
        <v>0</v>
      </c>
      <c r="E99" s="64">
        <f t="shared" si="12"/>
        <v>0</v>
      </c>
      <c r="F99" s="62">
        <f>COUNTIFS('Self-Assessment_Cases'!$E$4:$E$657,"PM-8",'Self-Assessment_Cases'!$I4:$I657,"In Progress - Configuration")</f>
        <v>0</v>
      </c>
      <c r="G99" s="65">
        <f t="shared" si="13"/>
        <v>0</v>
      </c>
      <c r="H99" s="48">
        <f>COUNTIFS('Self-Assessment_Cases'!$E$4:$E$657,"PM-8",'Self-Assessment_Cases'!$I4:$I657,"In Progress - Installation/Upgrade")</f>
        <v>0</v>
      </c>
      <c r="I99" s="66">
        <f t="shared" si="14"/>
        <v>0</v>
      </c>
      <c r="J99" s="49">
        <f>COUNTIFS('Self-Assessment_Cases'!$E$4:$E$657,"PM-8",'Self-Assessment_Cases'!$I4:$I657,"Not Implemented - Compensating Control")</f>
        <v>0</v>
      </c>
      <c r="K99" s="67">
        <f t="shared" si="15"/>
        <v>0</v>
      </c>
      <c r="L99" s="50">
        <f>COUNTIFS('Self-Assessment_Cases'!$E$4:$E$657,"PM-8",'Self-Assessment_Cases'!$I4:$I657,"Not Implemented - Risk Negligible")</f>
        <v>0</v>
      </c>
      <c r="M99" s="56">
        <f t="shared" si="16"/>
        <v>0</v>
      </c>
      <c r="N99" s="57">
        <f>COUNTIFS('Self-Assessment_Cases'!$E$4:$E$657,"PM-8",'Self-Assessment_Cases'!$I4:$I657,"Not Implemented - Risk Accepted")</f>
        <v>0</v>
      </c>
      <c r="O99" s="57">
        <f t="shared" si="17"/>
        <v>0</v>
      </c>
      <c r="P99" s="58">
        <f>COUNTIFS('Self-Assessment_Cases'!$E$4:$E$657,"PM-8",'Self-Assessment_Cases'!$I4:$I657,"Not Implemented - Planned")</f>
        <v>0</v>
      </c>
      <c r="Q99" s="58">
        <f t="shared" si="18"/>
        <v>0</v>
      </c>
      <c r="R99" s="59">
        <f>COUNTIFS('Self-Assessment_Cases'!$E$4:$E$657,"PM-8",'Self-Assessment_Cases'!$I4:$I657,"Not Implemented - Unplanned")</f>
        <v>0</v>
      </c>
      <c r="S99" s="59">
        <f t="shared" si="19"/>
        <v>0</v>
      </c>
      <c r="T99" s="60">
        <f>COUNTIFS('Self-Assessment_Cases'!$E$4:$E$657,"PM-8",'Self-Assessment_Cases'!$I4:$I657,"Not Applicable")</f>
        <v>0</v>
      </c>
      <c r="U99" s="61"/>
      <c r="V99" s="68" t="e">
        <f t="shared" si="20"/>
        <v>#REF!</v>
      </c>
      <c r="W99" s="44" t="e">
        <f t="shared" si="21"/>
        <v>#REF!</v>
      </c>
    </row>
    <row r="100" spans="1:23" ht="15" customHeight="1" x14ac:dyDescent="0.2">
      <c r="A100" s="45" t="s">
        <v>1528</v>
      </c>
      <c r="B100" s="46" t="e">
        <f>COUNTIF('Self-Assessment_Cases'!#REF!,"*"&amp;A100&amp;"*")</f>
        <v>#REF!</v>
      </c>
      <c r="C100" s="63" t="e">
        <f t="shared" si="11"/>
        <v>#REF!</v>
      </c>
      <c r="D100" s="47">
        <f>COUNTIFS('Self-Assessment_Cases'!$E$4:$E$657,"PM-9",'Self-Assessment_Cases'!$I4:$I657,"In Progress - Administrative")</f>
        <v>0</v>
      </c>
      <c r="E100" s="64">
        <f t="shared" si="12"/>
        <v>0</v>
      </c>
      <c r="F100" s="62">
        <f>COUNTIFS('Self-Assessment_Cases'!$E$4:$E$657,"PM-9",'Self-Assessment_Cases'!$I4:$I657,"In Progress - Configuration")</f>
        <v>0</v>
      </c>
      <c r="G100" s="65">
        <f t="shared" si="13"/>
        <v>0</v>
      </c>
      <c r="H100" s="48">
        <f>COUNTIFS('Self-Assessment_Cases'!$E$4:$E$657,"PM-9",'Self-Assessment_Cases'!$I4:$I657,"In Progress - Installation/Upgrade")</f>
        <v>0</v>
      </c>
      <c r="I100" s="66">
        <f t="shared" si="14"/>
        <v>0</v>
      </c>
      <c r="J100" s="49">
        <f>COUNTIFS('Self-Assessment_Cases'!$E$4:$E$657,"PM-9",'Self-Assessment_Cases'!$I4:$I657,"Not Implemented - Compensating Control")</f>
        <v>0</v>
      </c>
      <c r="K100" s="67">
        <f t="shared" si="15"/>
        <v>0</v>
      </c>
      <c r="L100" s="50">
        <f>COUNTIFS('Self-Assessment_Cases'!$E$4:$E$657,"PM-9",'Self-Assessment_Cases'!$I4:$I657,"Not Implemented - Risk Negligible")</f>
        <v>0</v>
      </c>
      <c r="M100" s="56">
        <f t="shared" si="16"/>
        <v>0</v>
      </c>
      <c r="N100" s="57">
        <f>COUNTIFS('Self-Assessment_Cases'!$E$4:$E$657,"PM-9",'Self-Assessment_Cases'!$I4:$I657,"Not Implemented - Risk Accepted")</f>
        <v>0</v>
      </c>
      <c r="O100" s="57">
        <f t="shared" si="17"/>
        <v>0</v>
      </c>
      <c r="P100" s="58">
        <f>COUNTIFS('Self-Assessment_Cases'!$E$4:$E$657,"PM-9",'Self-Assessment_Cases'!$I4:$I657,"Not Implemented - Planned")</f>
        <v>0</v>
      </c>
      <c r="Q100" s="58">
        <f t="shared" si="18"/>
        <v>0</v>
      </c>
      <c r="R100" s="59">
        <f>COUNTIFS('Self-Assessment_Cases'!$E$4:$E$657,"PM-9",'Self-Assessment_Cases'!$I4:$I657,"Not Implemented - Unplanned")</f>
        <v>0</v>
      </c>
      <c r="S100" s="59">
        <f t="shared" si="19"/>
        <v>0</v>
      </c>
      <c r="T100" s="60">
        <f>COUNTIFS('Self-Assessment_Cases'!$E$4:$E$657,"PM-9",'Self-Assessment_Cases'!$I4:$I657,"Not Applicable")</f>
        <v>0</v>
      </c>
      <c r="U100" s="61"/>
      <c r="V100" s="68" t="e">
        <f t="shared" si="20"/>
        <v>#REF!</v>
      </c>
      <c r="W100" s="44" t="e">
        <f t="shared" si="21"/>
        <v>#REF!</v>
      </c>
    </row>
    <row r="101" spans="1:23" x14ac:dyDescent="0.2">
      <c r="A101" s="45" t="s">
        <v>1529</v>
      </c>
      <c r="B101" s="46" t="e">
        <f>COUNTIF('Self-Assessment_Cases'!#REF!,"*"&amp;A101&amp;"*")</f>
        <v>#REF!</v>
      </c>
      <c r="C101" s="63" t="e">
        <f t="shared" si="11"/>
        <v>#REF!</v>
      </c>
      <c r="D101" s="47">
        <f>COUNTIFS('Self-Assessment_Cases'!$E$4:$E$657,"PS-1",'Self-Assessment_Cases'!$I4:$I657,"In Progress - Administrative")</f>
        <v>0</v>
      </c>
      <c r="E101" s="64">
        <f t="shared" si="12"/>
        <v>0</v>
      </c>
      <c r="F101" s="62">
        <f>COUNTIFS('Self-Assessment_Cases'!$E$4:$E$657,"PS-1",'Self-Assessment_Cases'!$I4:$I657,"In Progress - Configuration")</f>
        <v>0</v>
      </c>
      <c r="G101" s="65">
        <f t="shared" si="13"/>
        <v>0</v>
      </c>
      <c r="H101" s="48">
        <f>COUNTIFS('Self-Assessment_Cases'!$E$4:$E$657,"PS-1",'Self-Assessment_Cases'!$I4:$I657,"In Progress - Installation/Upgrade")</f>
        <v>0</v>
      </c>
      <c r="I101" s="66">
        <f t="shared" si="14"/>
        <v>0</v>
      </c>
      <c r="J101" s="49">
        <f>COUNTIFS('Self-Assessment_Cases'!$E$4:$E$657,"PS-1",'Self-Assessment_Cases'!$I4:$I657,"Not Implemented - Compensating Control")</f>
        <v>0</v>
      </c>
      <c r="K101" s="67">
        <f t="shared" si="15"/>
        <v>0</v>
      </c>
      <c r="L101" s="50">
        <f>COUNTIFS('Self-Assessment_Cases'!$E$4:$E$657,"PS-1",'Self-Assessment_Cases'!$I4:$I657,"Not Implemented - Risk Negligible")</f>
        <v>0</v>
      </c>
      <c r="M101" s="56">
        <f t="shared" si="16"/>
        <v>0</v>
      </c>
      <c r="N101" s="57">
        <f>COUNTIFS('Self-Assessment_Cases'!$E$4:$E$657,"PS-1",'Self-Assessment_Cases'!$I4:$I657,"Not Implemented - Risk Accepted")</f>
        <v>0</v>
      </c>
      <c r="O101" s="57">
        <f t="shared" si="17"/>
        <v>0</v>
      </c>
      <c r="P101" s="58">
        <f>COUNTIFS('Self-Assessment_Cases'!$E$4:$E$657,"PS-1",'Self-Assessment_Cases'!$I4:$I657,"Not Implemented - Planned")</f>
        <v>0</v>
      </c>
      <c r="Q101" s="58">
        <f t="shared" si="18"/>
        <v>0</v>
      </c>
      <c r="R101" s="59">
        <f>COUNTIFS('Self-Assessment_Cases'!$E$4:$E$657,"PS-1",'Self-Assessment_Cases'!$I4:$I657,"Not Implemented - Unplanned")</f>
        <v>0</v>
      </c>
      <c r="S101" s="59">
        <f t="shared" si="19"/>
        <v>0</v>
      </c>
      <c r="T101" s="60">
        <f>COUNTIFS('Self-Assessment_Cases'!$E$4:$E$657,"PS-1",'Self-Assessment_Cases'!$I4:$I657,"Not Applicable")</f>
        <v>0</v>
      </c>
      <c r="U101" s="61"/>
      <c r="V101" s="68" t="e">
        <f t="shared" si="20"/>
        <v>#REF!</v>
      </c>
      <c r="W101" s="44" t="e">
        <f t="shared" si="21"/>
        <v>#REF!</v>
      </c>
    </row>
    <row r="102" spans="1:23" x14ac:dyDescent="0.2">
      <c r="A102" s="45" t="s">
        <v>1530</v>
      </c>
      <c r="B102" s="46" t="e">
        <f>COUNTIF('Self-Assessment_Cases'!#REF!,"*"&amp;A102&amp;"*")</f>
        <v>#REF!</v>
      </c>
      <c r="C102" s="63" t="e">
        <f t="shared" si="11"/>
        <v>#REF!</v>
      </c>
      <c r="D102" s="47">
        <f>COUNTIFS('Self-Assessment_Cases'!$E$4:$E$657,"PS-2",'Self-Assessment_Cases'!$I4:$I657,"In Progress - Administrative")</f>
        <v>0</v>
      </c>
      <c r="E102" s="64">
        <f t="shared" si="12"/>
        <v>0</v>
      </c>
      <c r="F102" s="62">
        <f>COUNTIFS('Self-Assessment_Cases'!$E$4:$E$657,"PS-2",'Self-Assessment_Cases'!$I4:$I657,"In Progress - Configuration")</f>
        <v>0</v>
      </c>
      <c r="G102" s="65">
        <f t="shared" si="13"/>
        <v>0</v>
      </c>
      <c r="H102" s="48">
        <f>COUNTIFS('Self-Assessment_Cases'!$E$4:$E$657,"PS-2",'Self-Assessment_Cases'!$I4:$I657,"In Progress - Installation/Upgrade")</f>
        <v>0</v>
      </c>
      <c r="I102" s="66">
        <f t="shared" si="14"/>
        <v>0</v>
      </c>
      <c r="J102" s="49">
        <f>COUNTIFS('Self-Assessment_Cases'!$E$4:$E$657,"PS-2",'Self-Assessment_Cases'!$I4:$I657,"Not Implemented - Compensating Control")</f>
        <v>0</v>
      </c>
      <c r="K102" s="67">
        <f t="shared" si="15"/>
        <v>0</v>
      </c>
      <c r="L102" s="50">
        <f>COUNTIFS('Self-Assessment_Cases'!$E$4:$E$657,"PS-2",'Self-Assessment_Cases'!$I4:$I657,"Not Implemented - Risk Negligible")</f>
        <v>0</v>
      </c>
      <c r="M102" s="56">
        <f t="shared" si="16"/>
        <v>0</v>
      </c>
      <c r="N102" s="57">
        <f>COUNTIFS('Self-Assessment_Cases'!$E$4:$E$657,"PS-2",'Self-Assessment_Cases'!$I4:$I657,"Not Implemented - Risk Accepted")</f>
        <v>0</v>
      </c>
      <c r="O102" s="57">
        <f t="shared" si="17"/>
        <v>0</v>
      </c>
      <c r="P102" s="58">
        <f>COUNTIFS('Self-Assessment_Cases'!$E$4:$E$657,"PS-2",'Self-Assessment_Cases'!$I4:$I657,"Not Implemented - Planned")</f>
        <v>0</v>
      </c>
      <c r="Q102" s="58">
        <f t="shared" si="18"/>
        <v>0</v>
      </c>
      <c r="R102" s="59">
        <f>COUNTIFS('Self-Assessment_Cases'!$E$4:$E$657,"PS-2",'Self-Assessment_Cases'!$I4:$I657,"Not Implemented - Unplanned")</f>
        <v>0</v>
      </c>
      <c r="S102" s="59">
        <f t="shared" si="19"/>
        <v>0</v>
      </c>
      <c r="T102" s="60">
        <f>COUNTIFS('Self-Assessment_Cases'!$E$4:$E$657,"PS-2",'Self-Assessment_Cases'!$I4:$I657,"Not Applicable")</f>
        <v>0</v>
      </c>
      <c r="U102" s="61"/>
      <c r="V102" s="68" t="e">
        <f t="shared" si="20"/>
        <v>#REF!</v>
      </c>
      <c r="W102" s="44" t="e">
        <f t="shared" si="21"/>
        <v>#REF!</v>
      </c>
    </row>
    <row r="103" spans="1:23" ht="15" customHeight="1" x14ac:dyDescent="0.2">
      <c r="A103" s="45" t="s">
        <v>1531</v>
      </c>
      <c r="B103" s="46" t="e">
        <f>COUNTIF('Self-Assessment_Cases'!#REF!,"*"&amp;A103&amp;"*")</f>
        <v>#REF!</v>
      </c>
      <c r="C103" s="63" t="e">
        <f t="shared" si="11"/>
        <v>#REF!</v>
      </c>
      <c r="D103" s="47">
        <f>COUNTIFS('Self-Assessment_Cases'!$E$4:$E$657,"PS-3",'Self-Assessment_Cases'!$I4:$I657,"In Progress - Administrative")</f>
        <v>0</v>
      </c>
      <c r="E103" s="64">
        <f t="shared" si="12"/>
        <v>0</v>
      </c>
      <c r="F103" s="62">
        <f>COUNTIFS('Self-Assessment_Cases'!$E$4:$E$657,"PS-3",'Self-Assessment_Cases'!$I4:$I657,"In Progress - Configuration")</f>
        <v>0</v>
      </c>
      <c r="G103" s="65">
        <f t="shared" si="13"/>
        <v>0</v>
      </c>
      <c r="H103" s="48">
        <f>COUNTIFS('Self-Assessment_Cases'!$E$4:$E$657,"PS-3",'Self-Assessment_Cases'!$I4:$I657,"In Progress - Installation/Upgrade")</f>
        <v>0</v>
      </c>
      <c r="I103" s="66">
        <f t="shared" si="14"/>
        <v>0</v>
      </c>
      <c r="J103" s="49">
        <f>COUNTIFS('Self-Assessment_Cases'!$E$4:$E$657,"PS-3",'Self-Assessment_Cases'!$I4:$I657,"Not Implemented - Compensating Control")</f>
        <v>0</v>
      </c>
      <c r="K103" s="67">
        <f t="shared" si="15"/>
        <v>0</v>
      </c>
      <c r="L103" s="50">
        <f>COUNTIFS('Self-Assessment_Cases'!$E$4:$E$657,"PS-3",'Self-Assessment_Cases'!$I4:$I657,"Not Implemented - Risk Negligible")</f>
        <v>0</v>
      </c>
      <c r="M103" s="56">
        <f t="shared" si="16"/>
        <v>0</v>
      </c>
      <c r="N103" s="57">
        <f>COUNTIFS('Self-Assessment_Cases'!$E$4:$E$657,"PS-3",'Self-Assessment_Cases'!$I4:$I657,"Not Implemented - Risk Accepted")</f>
        <v>0</v>
      </c>
      <c r="O103" s="57">
        <f t="shared" si="17"/>
        <v>0</v>
      </c>
      <c r="P103" s="58">
        <f>COUNTIFS('Self-Assessment_Cases'!$E$4:$E$657,"PS-3",'Self-Assessment_Cases'!$I4:$I657,"Not Implemented - Planned")</f>
        <v>0</v>
      </c>
      <c r="Q103" s="58">
        <f t="shared" si="18"/>
        <v>0</v>
      </c>
      <c r="R103" s="59">
        <f>COUNTIFS('Self-Assessment_Cases'!$E$4:$E$657,"PS-3",'Self-Assessment_Cases'!$I4:$I657,"Not Implemented - Unplanned")</f>
        <v>0</v>
      </c>
      <c r="S103" s="59">
        <f t="shared" si="19"/>
        <v>0</v>
      </c>
      <c r="T103" s="60">
        <f>COUNTIFS('Self-Assessment_Cases'!$E$4:$E$657,"PS-3",'Self-Assessment_Cases'!$I4:$I657,"Not Applicable")</f>
        <v>0</v>
      </c>
      <c r="U103" s="61"/>
      <c r="V103" s="68" t="e">
        <f t="shared" si="20"/>
        <v>#REF!</v>
      </c>
      <c r="W103" s="44" t="e">
        <f t="shared" si="21"/>
        <v>#REF!</v>
      </c>
    </row>
    <row r="104" spans="1:23" x14ac:dyDescent="0.2">
      <c r="A104" s="45" t="s">
        <v>1532</v>
      </c>
      <c r="B104" s="46" t="e">
        <f>COUNTIF('Self-Assessment_Cases'!#REF!,"*"&amp;A104&amp;"*")</f>
        <v>#REF!</v>
      </c>
      <c r="C104" s="63" t="e">
        <f t="shared" si="11"/>
        <v>#REF!</v>
      </c>
      <c r="D104" s="47">
        <f>COUNTIFS('Self-Assessment_Cases'!$E$4:$E$657,"PS-5",'Self-Assessment_Cases'!$I4:$I657,"In Progress - Administrative")</f>
        <v>0</v>
      </c>
      <c r="E104" s="64">
        <f t="shared" si="12"/>
        <v>0</v>
      </c>
      <c r="F104" s="62">
        <f>COUNTIFS('Self-Assessment_Cases'!$E$4:$E$657,"PS-5",'Self-Assessment_Cases'!$I4:$I657,"In Progress - Configuration")</f>
        <v>0</v>
      </c>
      <c r="G104" s="65">
        <f t="shared" si="13"/>
        <v>0</v>
      </c>
      <c r="H104" s="48">
        <f>COUNTIFS('Self-Assessment_Cases'!$E$4:$E$657,"PS-5",'Self-Assessment_Cases'!$I4:$I657,"In Progress - Installation/Upgrade")</f>
        <v>0</v>
      </c>
      <c r="I104" s="66">
        <f t="shared" si="14"/>
        <v>0</v>
      </c>
      <c r="J104" s="49">
        <f>COUNTIFS('Self-Assessment_Cases'!$E$4:$E$657,"PS-5",'Self-Assessment_Cases'!$I4:$I657,"Not Implemented - Compensating Control")</f>
        <v>0</v>
      </c>
      <c r="K104" s="67">
        <f t="shared" si="15"/>
        <v>0</v>
      </c>
      <c r="L104" s="50">
        <f>COUNTIFS('Self-Assessment_Cases'!$E$4:$E$657,"PS-5",'Self-Assessment_Cases'!$I4:$I657,"Not Implemented - Risk Negligible")</f>
        <v>0</v>
      </c>
      <c r="M104" s="56">
        <f t="shared" si="16"/>
        <v>0</v>
      </c>
      <c r="N104" s="57">
        <f>COUNTIFS('Self-Assessment_Cases'!$E$4:$E$657,"PS-5",'Self-Assessment_Cases'!$I4:$I657,"Not Implemented - Risk Accepted")</f>
        <v>0</v>
      </c>
      <c r="O104" s="57">
        <f t="shared" si="17"/>
        <v>0</v>
      </c>
      <c r="P104" s="58">
        <f>COUNTIFS('Self-Assessment_Cases'!$E$4:$E$657,"PS-5",'Self-Assessment_Cases'!$I4:$I657,"Not Implemented - Planned")</f>
        <v>0</v>
      </c>
      <c r="Q104" s="58">
        <f t="shared" si="18"/>
        <v>0</v>
      </c>
      <c r="R104" s="59">
        <f>COUNTIFS('Self-Assessment_Cases'!$E$4:$E$657,"PS-5",'Self-Assessment_Cases'!$I4:$I657,"Not Implemented - Unplanned")</f>
        <v>0</v>
      </c>
      <c r="S104" s="59">
        <f t="shared" si="19"/>
        <v>0</v>
      </c>
      <c r="T104" s="60">
        <f>COUNTIFS('Self-Assessment_Cases'!$E$4:$E$657,"PS-5",'Self-Assessment_Cases'!$I4:$I657,"Not Applicable")</f>
        <v>0</v>
      </c>
      <c r="U104" s="61"/>
      <c r="V104" s="68" t="e">
        <f t="shared" si="20"/>
        <v>#REF!</v>
      </c>
      <c r="W104" s="44" t="e">
        <f t="shared" si="21"/>
        <v>#REF!</v>
      </c>
    </row>
    <row r="105" spans="1:23" ht="15" customHeight="1" x14ac:dyDescent="0.2">
      <c r="A105" s="45" t="s">
        <v>1533</v>
      </c>
      <c r="B105" s="46" t="e">
        <f>COUNTIF('Self-Assessment_Cases'!#REF!,"*"&amp;A105&amp;"*")</f>
        <v>#REF!</v>
      </c>
      <c r="C105" s="63" t="e">
        <f t="shared" si="11"/>
        <v>#REF!</v>
      </c>
      <c r="D105" s="47">
        <f>COUNTIFS('Self-Assessment_Cases'!$E$4:$E$657,"PS-6",'Self-Assessment_Cases'!$I4:$I657,"In Progress - Administrative")</f>
        <v>0</v>
      </c>
      <c r="E105" s="64">
        <f t="shared" si="12"/>
        <v>0</v>
      </c>
      <c r="F105" s="62">
        <f>COUNTIFS('Self-Assessment_Cases'!$E$4:$E$657,"PS-6",'Self-Assessment_Cases'!$I4:$I657,"In Progress - Configuration")</f>
        <v>0</v>
      </c>
      <c r="G105" s="65">
        <f t="shared" si="13"/>
        <v>0</v>
      </c>
      <c r="H105" s="48">
        <f>COUNTIFS('Self-Assessment_Cases'!$E$4:$E$657,"PS-6",'Self-Assessment_Cases'!$I4:$I657,"In Progress - Installation/Upgrade")</f>
        <v>0</v>
      </c>
      <c r="I105" s="66">
        <f t="shared" si="14"/>
        <v>0</v>
      </c>
      <c r="J105" s="49">
        <f>COUNTIFS('Self-Assessment_Cases'!$E$4:$E$657,"PS-6",'Self-Assessment_Cases'!$I4:$I657,"Not Implemented - Compensating Control")</f>
        <v>0</v>
      </c>
      <c r="K105" s="67">
        <f t="shared" si="15"/>
        <v>0</v>
      </c>
      <c r="L105" s="50">
        <f>COUNTIFS('Self-Assessment_Cases'!$E$4:$E$657,"PS-6",'Self-Assessment_Cases'!$I4:$I657,"Not Implemented - Risk Negligible")</f>
        <v>0</v>
      </c>
      <c r="M105" s="56">
        <f t="shared" si="16"/>
        <v>0</v>
      </c>
      <c r="N105" s="57">
        <f>COUNTIFS('Self-Assessment_Cases'!$E$4:$E$657,"PS-6",'Self-Assessment_Cases'!$I4:$I657,"Not Implemented - Risk Accepted")</f>
        <v>0</v>
      </c>
      <c r="O105" s="57">
        <f t="shared" si="17"/>
        <v>0</v>
      </c>
      <c r="P105" s="58">
        <f>COUNTIFS('Self-Assessment_Cases'!$E$4:$E$657,"PS-6",'Self-Assessment_Cases'!$I4:$I657,"Not Implemented - Planned")</f>
        <v>0</v>
      </c>
      <c r="Q105" s="58">
        <f t="shared" si="18"/>
        <v>0</v>
      </c>
      <c r="R105" s="59">
        <f>COUNTIFS('Self-Assessment_Cases'!$E$4:$E$657,"PS-6",'Self-Assessment_Cases'!$I4:$I657,"Not Implemented - Unplanned")</f>
        <v>0</v>
      </c>
      <c r="S105" s="59">
        <f t="shared" si="19"/>
        <v>0</v>
      </c>
      <c r="T105" s="60">
        <f>COUNTIFS('Self-Assessment_Cases'!$E$4:$E$657,"PS-6",'Self-Assessment_Cases'!$I4:$I657,"Not Applicable")</f>
        <v>0</v>
      </c>
      <c r="U105" s="61"/>
      <c r="V105" s="68" t="e">
        <f t="shared" si="20"/>
        <v>#REF!</v>
      </c>
      <c r="W105" s="44" t="e">
        <f t="shared" si="21"/>
        <v>#REF!</v>
      </c>
    </row>
    <row r="106" spans="1:23" ht="15" customHeight="1" x14ac:dyDescent="0.2">
      <c r="A106" s="45" t="s">
        <v>1534</v>
      </c>
      <c r="B106" s="46" t="e">
        <f>COUNTIF('Self-Assessment_Cases'!#REF!,"*"&amp;A106&amp;"*")</f>
        <v>#REF!</v>
      </c>
      <c r="C106" s="63" t="e">
        <f t="shared" si="11"/>
        <v>#REF!</v>
      </c>
      <c r="D106" s="47">
        <f>COUNTIFS('Self-Assessment_Cases'!$E$4:$E$657,"PS-7",'Self-Assessment_Cases'!$I4:$I657,"In Progress - Administrative")</f>
        <v>0</v>
      </c>
      <c r="E106" s="64">
        <f t="shared" si="12"/>
        <v>0</v>
      </c>
      <c r="F106" s="62">
        <f>COUNTIFS('Self-Assessment_Cases'!$E$4:$E$657,"PS-7",'Self-Assessment_Cases'!$I4:$I657,"In Progress - Configuration")</f>
        <v>0</v>
      </c>
      <c r="G106" s="65">
        <f t="shared" si="13"/>
        <v>0</v>
      </c>
      <c r="H106" s="48">
        <f>COUNTIFS('Self-Assessment_Cases'!$E$4:$E$657,"PS-7",'Self-Assessment_Cases'!$I4:$I657,"In Progress - Installation/Upgrade")</f>
        <v>0</v>
      </c>
      <c r="I106" s="66">
        <f t="shared" si="14"/>
        <v>0</v>
      </c>
      <c r="J106" s="49">
        <f>COUNTIFS('Self-Assessment_Cases'!$E$4:$E$657,"PS-7",'Self-Assessment_Cases'!$I4:$I657,"Not Implemented - Compensating Control")</f>
        <v>0</v>
      </c>
      <c r="K106" s="67">
        <f t="shared" si="15"/>
        <v>0</v>
      </c>
      <c r="L106" s="50">
        <f>COUNTIFS('Self-Assessment_Cases'!$E$4:$E$657,"PS-7",'Self-Assessment_Cases'!$I4:$I657,"Not Implemented - Risk Negligible")</f>
        <v>0</v>
      </c>
      <c r="M106" s="56">
        <f t="shared" si="16"/>
        <v>0</v>
      </c>
      <c r="N106" s="57">
        <f>COUNTIFS('Self-Assessment_Cases'!$E$4:$E$657,"PS-7",'Self-Assessment_Cases'!$I4:$I657,"Not Implemented - Risk Accepted")</f>
        <v>0</v>
      </c>
      <c r="O106" s="57">
        <f t="shared" si="17"/>
        <v>0</v>
      </c>
      <c r="P106" s="58">
        <f>COUNTIFS('Self-Assessment_Cases'!$E$4:$E$657,"PS-7",'Self-Assessment_Cases'!$I4:$I657,"Not Implemented - Planned")</f>
        <v>0</v>
      </c>
      <c r="Q106" s="58">
        <f t="shared" si="18"/>
        <v>0</v>
      </c>
      <c r="R106" s="59">
        <f>COUNTIFS('Self-Assessment_Cases'!$E$4:$E$657,"PS-7",'Self-Assessment_Cases'!$I4:$I657,"Not Implemented - Unplanned")</f>
        <v>0</v>
      </c>
      <c r="S106" s="59">
        <f t="shared" si="19"/>
        <v>0</v>
      </c>
      <c r="T106" s="60">
        <f>COUNTIFS('Self-Assessment_Cases'!$E$4:$E$657,"PS-7",'Self-Assessment_Cases'!$I4:$I657,"Not Applicable")</f>
        <v>0</v>
      </c>
      <c r="U106" s="61"/>
      <c r="V106" s="68" t="e">
        <f t="shared" si="20"/>
        <v>#REF!</v>
      </c>
      <c r="W106" s="44" t="e">
        <f t="shared" si="21"/>
        <v>#REF!</v>
      </c>
    </row>
    <row r="107" spans="1:23" ht="15" customHeight="1" x14ac:dyDescent="0.2">
      <c r="A107" s="45" t="s">
        <v>1535</v>
      </c>
      <c r="B107" s="46" t="e">
        <f>COUNTIF('Self-Assessment_Cases'!#REF!,"*"&amp;A107&amp;"*")</f>
        <v>#REF!</v>
      </c>
      <c r="C107" s="63" t="e">
        <f t="shared" si="11"/>
        <v>#REF!</v>
      </c>
      <c r="D107" s="47">
        <f>COUNTIFS('Self-Assessment_Cases'!$E$4:$E$657,"PS-8",'Self-Assessment_Cases'!$I4:$I657,"In Progress - Administrative")</f>
        <v>0</v>
      </c>
      <c r="E107" s="64">
        <f t="shared" si="12"/>
        <v>0</v>
      </c>
      <c r="F107" s="62">
        <f>COUNTIFS('Self-Assessment_Cases'!$E$4:$E$657,"PS-8",'Self-Assessment_Cases'!$I4:$I657,"In Progress - Configuration")</f>
        <v>0</v>
      </c>
      <c r="G107" s="65">
        <f t="shared" si="13"/>
        <v>0</v>
      </c>
      <c r="H107" s="48">
        <f>COUNTIFS('Self-Assessment_Cases'!$E$4:$E$657,"PS-8",'Self-Assessment_Cases'!$I4:$I657,"In Progress - Installation/Upgrade")</f>
        <v>0</v>
      </c>
      <c r="I107" s="66">
        <f t="shared" si="14"/>
        <v>0</v>
      </c>
      <c r="J107" s="49">
        <f>COUNTIFS('Self-Assessment_Cases'!$E$4:$E$657,"PS-8",'Self-Assessment_Cases'!$I4:$I657,"Not Implemented - Compensating Control")</f>
        <v>0</v>
      </c>
      <c r="K107" s="67">
        <f t="shared" si="15"/>
        <v>0</v>
      </c>
      <c r="L107" s="50">
        <f>COUNTIFS('Self-Assessment_Cases'!$E$4:$E$657,"PS-8",'Self-Assessment_Cases'!$I4:$I657,"Not Implemented - Risk Negligible")</f>
        <v>0</v>
      </c>
      <c r="M107" s="56">
        <f t="shared" si="16"/>
        <v>0</v>
      </c>
      <c r="N107" s="57">
        <f>COUNTIFS('Self-Assessment_Cases'!$E$4:$E$657,"PS-8",'Self-Assessment_Cases'!$I4:$I657,"Not Implemented - Risk Accepted")</f>
        <v>0</v>
      </c>
      <c r="O107" s="57">
        <f t="shared" si="17"/>
        <v>0</v>
      </c>
      <c r="P107" s="58">
        <f>COUNTIFS('Self-Assessment_Cases'!$E$4:$E$657,"PS-8",'Self-Assessment_Cases'!$I4:$I657,"Not Implemented - Planned")</f>
        <v>0</v>
      </c>
      <c r="Q107" s="58">
        <f t="shared" si="18"/>
        <v>0</v>
      </c>
      <c r="R107" s="59">
        <f>COUNTIFS('Self-Assessment_Cases'!$E$4:$E$657,"PS-8",'Self-Assessment_Cases'!$I4:$I657,"Not Implemented - Unplanned")</f>
        <v>0</v>
      </c>
      <c r="S107" s="59">
        <f t="shared" si="19"/>
        <v>0</v>
      </c>
      <c r="T107" s="60">
        <f>COUNTIFS('Self-Assessment_Cases'!$E$4:$E$657,"PS-8",'Self-Assessment_Cases'!$I4:$I657,"Not Applicable")</f>
        <v>0</v>
      </c>
      <c r="U107" s="61"/>
      <c r="V107" s="68" t="e">
        <f t="shared" si="20"/>
        <v>#REF!</v>
      </c>
      <c r="W107" s="44" t="e">
        <f t="shared" si="21"/>
        <v>#REF!</v>
      </c>
    </row>
    <row r="108" spans="1:23" ht="15" customHeight="1" x14ac:dyDescent="0.2">
      <c r="A108" s="45" t="s">
        <v>1536</v>
      </c>
      <c r="B108" s="46" t="e">
        <f>COUNTIF('Self-Assessment_Cases'!#REF!,"*"&amp;A108&amp;"*")</f>
        <v>#REF!</v>
      </c>
      <c r="C108" s="63" t="e">
        <f t="shared" si="11"/>
        <v>#REF!</v>
      </c>
      <c r="D108" s="47">
        <f>COUNTIFS('Self-Assessment_Cases'!$E$4:$E$657,"PS-9",'Self-Assessment_Cases'!$I4:$I657,"In Progress - Administrative")</f>
        <v>0</v>
      </c>
      <c r="E108" s="64">
        <f t="shared" si="12"/>
        <v>0</v>
      </c>
      <c r="F108" s="62">
        <f>COUNTIFS('Self-Assessment_Cases'!$E$4:$E$657,"PS-9",'Self-Assessment_Cases'!$I4:$I657,"In Progress - Configuration")</f>
        <v>0</v>
      </c>
      <c r="G108" s="65">
        <f t="shared" si="13"/>
        <v>0</v>
      </c>
      <c r="H108" s="48">
        <f>COUNTIFS('Self-Assessment_Cases'!$E$4:$E$657,"PS-9",'Self-Assessment_Cases'!$I4:$I657,"In Progress - Installation/Upgrade")</f>
        <v>0</v>
      </c>
      <c r="I108" s="66">
        <f t="shared" si="14"/>
        <v>0</v>
      </c>
      <c r="J108" s="49">
        <f>COUNTIFS('Self-Assessment_Cases'!$E$4:$E$657,"PS-9",'Self-Assessment_Cases'!$I4:$I657,"Not Implemented - Compensating Control")</f>
        <v>0</v>
      </c>
      <c r="K108" s="67">
        <f t="shared" si="15"/>
        <v>0</v>
      </c>
      <c r="L108" s="50">
        <f>COUNTIFS('Self-Assessment_Cases'!$E$4:$E$657,"PS-9",'Self-Assessment_Cases'!$I4:$I657,"Not Implemented - Risk Negligible")</f>
        <v>0</v>
      </c>
      <c r="M108" s="56">
        <f t="shared" si="16"/>
        <v>0</v>
      </c>
      <c r="N108" s="57">
        <f>COUNTIFS('Self-Assessment_Cases'!$E$4:$E$657,"PS-9",'Self-Assessment_Cases'!$I4:$I657,"Not Implemented - Risk Accepted")</f>
        <v>0</v>
      </c>
      <c r="O108" s="57">
        <f t="shared" si="17"/>
        <v>0</v>
      </c>
      <c r="P108" s="58">
        <f>COUNTIFS('Self-Assessment_Cases'!$E$4:$E$657,"PS-9",'Self-Assessment_Cases'!$I4:$I657,"Not Implemented - Planned")</f>
        <v>0</v>
      </c>
      <c r="Q108" s="58">
        <f t="shared" si="18"/>
        <v>0</v>
      </c>
      <c r="R108" s="59">
        <f>COUNTIFS('Self-Assessment_Cases'!$E$4:$E$657,"PS-9",'Self-Assessment_Cases'!$I4:$I657,"Not Implemented - Unplanned")</f>
        <v>0</v>
      </c>
      <c r="S108" s="59">
        <f t="shared" si="19"/>
        <v>0</v>
      </c>
      <c r="T108" s="60">
        <f>COUNTIFS('Self-Assessment_Cases'!$E$4:$E$657,"PS-9",'Self-Assessment_Cases'!$I4:$I657,"Not Applicable")</f>
        <v>0</v>
      </c>
      <c r="U108" s="61"/>
      <c r="V108" s="68" t="e">
        <f t="shared" si="20"/>
        <v>#REF!</v>
      </c>
      <c r="W108" s="44" t="e">
        <f t="shared" si="21"/>
        <v>#REF!</v>
      </c>
    </row>
    <row r="109" spans="1:23" x14ac:dyDescent="0.2">
      <c r="A109" s="45" t="s">
        <v>1537</v>
      </c>
      <c r="B109" s="46" t="e">
        <f>COUNTIF('Self-Assessment_Cases'!#REF!,"*"&amp;A109&amp;"*")</f>
        <v>#REF!</v>
      </c>
      <c r="C109" s="63" t="e">
        <f t="shared" si="11"/>
        <v>#REF!</v>
      </c>
      <c r="D109" s="47">
        <f>COUNTIFS('Self-Assessment_Cases'!$E$4:$E$657,"RA-1",'Self-Assessment_Cases'!$I4:$I657,"In Progress - Administrative")</f>
        <v>0</v>
      </c>
      <c r="E109" s="64">
        <f t="shared" si="12"/>
        <v>0</v>
      </c>
      <c r="F109" s="62">
        <f>COUNTIFS('Self-Assessment_Cases'!$E$4:$E$657,"RA-1",'Self-Assessment_Cases'!$I4:$I657,"In Progress - Configuration")</f>
        <v>0</v>
      </c>
      <c r="G109" s="65">
        <f t="shared" si="13"/>
        <v>0</v>
      </c>
      <c r="H109" s="48">
        <f>COUNTIFS('Self-Assessment_Cases'!$E$4:$E$657,"RA-1",'Self-Assessment_Cases'!$I4:$I657,"In Progress - Installation/Upgrade")</f>
        <v>0</v>
      </c>
      <c r="I109" s="66">
        <f t="shared" si="14"/>
        <v>0</v>
      </c>
      <c r="J109" s="49">
        <f>COUNTIFS('Self-Assessment_Cases'!$E$4:$E$657,"RA-1",'Self-Assessment_Cases'!$I4:$I657,"Not Implemented - Compensating Control")</f>
        <v>0</v>
      </c>
      <c r="K109" s="67">
        <f t="shared" si="15"/>
        <v>0</v>
      </c>
      <c r="L109" s="50">
        <f>COUNTIFS('Self-Assessment_Cases'!$E$4:$E$657,"RA-1",'Self-Assessment_Cases'!$I4:$I657,"Not Implemented - Risk Negligible")</f>
        <v>0</v>
      </c>
      <c r="M109" s="56">
        <f t="shared" si="16"/>
        <v>0</v>
      </c>
      <c r="N109" s="57">
        <f>COUNTIFS('Self-Assessment_Cases'!$E$4:$E$657,"RA-1",'Self-Assessment_Cases'!$I4:$I657,"Not Implemented - Risk Accepted")</f>
        <v>0</v>
      </c>
      <c r="O109" s="57">
        <f t="shared" si="17"/>
        <v>0</v>
      </c>
      <c r="P109" s="58">
        <f>COUNTIFS('Self-Assessment_Cases'!$E$4:$E$657,"RA-1",'Self-Assessment_Cases'!$I4:$I657,"Not Implemented - Planned")</f>
        <v>0</v>
      </c>
      <c r="Q109" s="58">
        <f t="shared" si="18"/>
        <v>0</v>
      </c>
      <c r="R109" s="59">
        <f>COUNTIFS('Self-Assessment_Cases'!$E$4:$E$657,"RA-1",'Self-Assessment_Cases'!$I4:$I657,"Not Implemented - Unplanned")</f>
        <v>0</v>
      </c>
      <c r="S109" s="59">
        <f t="shared" si="19"/>
        <v>0</v>
      </c>
      <c r="T109" s="60">
        <f>COUNTIFS('Self-Assessment_Cases'!$E$4:$E$657,"RA-1",'Self-Assessment_Cases'!$I4:$I657,"Not Applicable")</f>
        <v>0</v>
      </c>
      <c r="U109" s="61"/>
      <c r="V109" s="68" t="e">
        <f t="shared" si="20"/>
        <v>#REF!</v>
      </c>
      <c r="W109" s="44" t="e">
        <f t="shared" si="21"/>
        <v>#REF!</v>
      </c>
    </row>
    <row r="110" spans="1:23" x14ac:dyDescent="0.2">
      <c r="A110" s="45" t="s">
        <v>1538</v>
      </c>
      <c r="B110" s="46" t="e">
        <f>COUNTIF('Self-Assessment_Cases'!#REF!,"*"&amp;A110&amp;"*")</f>
        <v>#REF!</v>
      </c>
      <c r="C110" s="63" t="e">
        <f t="shared" si="11"/>
        <v>#REF!</v>
      </c>
      <c r="D110" s="47">
        <f>COUNTIFS('Self-Assessment_Cases'!$E$4:$E$657,"RA-2",'Self-Assessment_Cases'!$I4:$I657,"In Progress - Administrative")</f>
        <v>0</v>
      </c>
      <c r="E110" s="64">
        <f t="shared" si="12"/>
        <v>0</v>
      </c>
      <c r="F110" s="62">
        <f>COUNTIFS('Self-Assessment_Cases'!$E$4:$E$657,"RA-2",'Self-Assessment_Cases'!$I4:$I657,"In Progress - Configuration")</f>
        <v>0</v>
      </c>
      <c r="G110" s="65">
        <f t="shared" si="13"/>
        <v>0</v>
      </c>
      <c r="H110" s="48">
        <f>COUNTIFS('Self-Assessment_Cases'!$E$4:$E$657,"RA-2",'Self-Assessment_Cases'!$I4:$I657,"In Progress - Installation/Upgrade")</f>
        <v>0</v>
      </c>
      <c r="I110" s="66">
        <f t="shared" si="14"/>
        <v>0</v>
      </c>
      <c r="J110" s="49">
        <f>COUNTIFS('Self-Assessment_Cases'!$E$4:$E$657,"RA-2",'Self-Assessment_Cases'!$I4:$I657,"Not Implemented - Compensating Control")</f>
        <v>0</v>
      </c>
      <c r="K110" s="67">
        <f t="shared" si="15"/>
        <v>0</v>
      </c>
      <c r="L110" s="50">
        <f>COUNTIFS('Self-Assessment_Cases'!$E$4:$E$657,"RA-2",'Self-Assessment_Cases'!$I4:$I657,"Not Implemented - Risk Negligible")</f>
        <v>0</v>
      </c>
      <c r="M110" s="56">
        <f t="shared" si="16"/>
        <v>0</v>
      </c>
      <c r="N110" s="57">
        <f>COUNTIFS('Self-Assessment_Cases'!$E$4:$E$657,"RA-2",'Self-Assessment_Cases'!$I4:$I657,"Not Implemented - Risk Accepted")</f>
        <v>0</v>
      </c>
      <c r="O110" s="57">
        <f t="shared" si="17"/>
        <v>0</v>
      </c>
      <c r="P110" s="58">
        <f>COUNTIFS('Self-Assessment_Cases'!$E$4:$E$657,"RA-2",'Self-Assessment_Cases'!$I4:$I657,"Not Implemented - Planned")</f>
        <v>0</v>
      </c>
      <c r="Q110" s="58">
        <f t="shared" si="18"/>
        <v>0</v>
      </c>
      <c r="R110" s="59">
        <f>COUNTIFS('Self-Assessment_Cases'!$E$4:$E$657,"RA-2",'Self-Assessment_Cases'!$I4:$I657,"Not Implemented - Unplanned")</f>
        <v>0</v>
      </c>
      <c r="S110" s="59">
        <f t="shared" si="19"/>
        <v>0</v>
      </c>
      <c r="T110" s="60">
        <f>COUNTIFS('Self-Assessment_Cases'!$E$4:$E$657,"RA-2",'Self-Assessment_Cases'!$I4:$I657,"Not Applicable")</f>
        <v>0</v>
      </c>
      <c r="U110" s="61"/>
      <c r="V110" s="68" t="e">
        <f t="shared" si="20"/>
        <v>#REF!</v>
      </c>
      <c r="W110" s="44" t="e">
        <f t="shared" si="21"/>
        <v>#REF!</v>
      </c>
    </row>
    <row r="111" spans="1:23" x14ac:dyDescent="0.2">
      <c r="A111" s="45" t="s">
        <v>1539</v>
      </c>
      <c r="B111" s="46" t="e">
        <f>COUNTIF('Self-Assessment_Cases'!#REF!,"*"&amp;A111&amp;"*")</f>
        <v>#REF!</v>
      </c>
      <c r="C111" s="63" t="e">
        <f t="shared" si="11"/>
        <v>#REF!</v>
      </c>
      <c r="D111" s="47">
        <f>COUNTIFS('Self-Assessment_Cases'!$E$4:$E$657,"RA-3",'Self-Assessment_Cases'!$I4:$I657,"In Progress - Administrative")</f>
        <v>0</v>
      </c>
      <c r="E111" s="64">
        <f t="shared" si="12"/>
        <v>0</v>
      </c>
      <c r="F111" s="62">
        <f>COUNTIFS('Self-Assessment_Cases'!$E$4:$E$657,"RA-3",'Self-Assessment_Cases'!$I4:$I657,"In Progress - Configuration")</f>
        <v>0</v>
      </c>
      <c r="G111" s="65">
        <f t="shared" si="13"/>
        <v>0</v>
      </c>
      <c r="H111" s="48">
        <f>COUNTIFS('Self-Assessment_Cases'!$E$4:$E$657,"RA-3",'Self-Assessment_Cases'!$I4:$I657,"In Progress - Installation/Upgrade")</f>
        <v>0</v>
      </c>
      <c r="I111" s="66">
        <f t="shared" si="14"/>
        <v>0</v>
      </c>
      <c r="J111" s="49">
        <f>COUNTIFS('Self-Assessment_Cases'!$E$4:$E$657,"RA-3",'Self-Assessment_Cases'!$I4:$I657,"Not Implemented - Compensating Control")</f>
        <v>0</v>
      </c>
      <c r="K111" s="67">
        <f t="shared" si="15"/>
        <v>0</v>
      </c>
      <c r="L111" s="50">
        <f>COUNTIFS('Self-Assessment_Cases'!$E$4:$E$657,"RA-3",'Self-Assessment_Cases'!$I4:$I657,"Not Implemented - Risk Negligible")</f>
        <v>0</v>
      </c>
      <c r="M111" s="56">
        <f t="shared" si="16"/>
        <v>0</v>
      </c>
      <c r="N111" s="57">
        <f>COUNTIFS('Self-Assessment_Cases'!$E$4:$E$657,"RA-3",'Self-Assessment_Cases'!$I4:$I657,"Not Implemented - Risk Accepted")</f>
        <v>0</v>
      </c>
      <c r="O111" s="57">
        <f t="shared" si="17"/>
        <v>0</v>
      </c>
      <c r="P111" s="58">
        <f>COUNTIFS('Self-Assessment_Cases'!$E$4:$E$657,"RA-3",'Self-Assessment_Cases'!$I4:$I657,"Not Implemented - Planned")</f>
        <v>0</v>
      </c>
      <c r="Q111" s="58">
        <f t="shared" si="18"/>
        <v>0</v>
      </c>
      <c r="R111" s="59">
        <f>COUNTIFS('Self-Assessment_Cases'!$E$4:$E$657,"RA-3",'Self-Assessment_Cases'!$I4:$I657,"Not Implemented - Unplanned")</f>
        <v>0</v>
      </c>
      <c r="S111" s="59">
        <f t="shared" si="19"/>
        <v>0</v>
      </c>
      <c r="T111" s="60">
        <f>COUNTIFS('Self-Assessment_Cases'!$E$4:$E$657,"RA-3",'Self-Assessment_Cases'!$I4:$I657,"Not Applicable")</f>
        <v>0</v>
      </c>
      <c r="U111" s="61"/>
      <c r="V111" s="68" t="e">
        <f t="shared" si="20"/>
        <v>#REF!</v>
      </c>
      <c r="W111" s="44" t="e">
        <f t="shared" si="21"/>
        <v>#REF!</v>
      </c>
    </row>
    <row r="112" spans="1:23" x14ac:dyDescent="0.2">
      <c r="A112" s="45" t="s">
        <v>1540</v>
      </c>
      <c r="B112" s="46" t="e">
        <f>COUNTIF('Self-Assessment_Cases'!#REF!,"*"&amp;A112&amp;"*")</f>
        <v>#REF!</v>
      </c>
      <c r="C112" s="63" t="e">
        <f t="shared" si="11"/>
        <v>#REF!</v>
      </c>
      <c r="D112" s="47">
        <f>COUNTIFS('Self-Assessment_Cases'!$E$4:$E$657,"RA-5",'Self-Assessment_Cases'!$I4:$I657,"In Progress - Administrative")</f>
        <v>0</v>
      </c>
      <c r="E112" s="64">
        <f t="shared" si="12"/>
        <v>0</v>
      </c>
      <c r="F112" s="62">
        <f>COUNTIFS('Self-Assessment_Cases'!$E$4:$E$657,"RA-5",'Self-Assessment_Cases'!$I4:$I657,"In Progress - Configuration")</f>
        <v>0</v>
      </c>
      <c r="G112" s="65">
        <f t="shared" si="13"/>
        <v>0</v>
      </c>
      <c r="H112" s="48">
        <f>COUNTIFS('Self-Assessment_Cases'!$E$4:$E$657,"RA-5",'Self-Assessment_Cases'!$I4:$I657,"In Progress - Installation/Upgrade")</f>
        <v>0</v>
      </c>
      <c r="I112" s="66">
        <f t="shared" si="14"/>
        <v>0</v>
      </c>
      <c r="J112" s="49">
        <f>COUNTIFS('Self-Assessment_Cases'!$E$4:$E$657,"RA-5",'Self-Assessment_Cases'!$I4:$I657,"Not Implemented - Compensating Control")</f>
        <v>0</v>
      </c>
      <c r="K112" s="67">
        <f t="shared" si="15"/>
        <v>0</v>
      </c>
      <c r="L112" s="50">
        <f>COUNTIFS('Self-Assessment_Cases'!$E$4:$E$657,"RA-5",'Self-Assessment_Cases'!$I4:$I657,"Not Implemented - Risk Negligible")</f>
        <v>0</v>
      </c>
      <c r="M112" s="56">
        <f t="shared" si="16"/>
        <v>0</v>
      </c>
      <c r="N112" s="57">
        <f>COUNTIFS('Self-Assessment_Cases'!$E$4:$E$657,"RA-5",'Self-Assessment_Cases'!$I4:$I657,"Not Implemented - Risk Accepted")</f>
        <v>0</v>
      </c>
      <c r="O112" s="57">
        <f t="shared" si="17"/>
        <v>0</v>
      </c>
      <c r="P112" s="58">
        <f>COUNTIFS('Self-Assessment_Cases'!$E$4:$E$657,"RA-5",'Self-Assessment_Cases'!$I4:$I657,"Not Implemented - Planned")</f>
        <v>0</v>
      </c>
      <c r="Q112" s="58">
        <f t="shared" si="18"/>
        <v>0</v>
      </c>
      <c r="R112" s="59">
        <f>COUNTIFS('Self-Assessment_Cases'!$E$4:$E$657,"RA-5",'Self-Assessment_Cases'!$I4:$I657,"Not Implemented - Unplanned")</f>
        <v>0</v>
      </c>
      <c r="S112" s="59">
        <f t="shared" si="19"/>
        <v>0</v>
      </c>
      <c r="T112" s="60">
        <f>COUNTIFS('Self-Assessment_Cases'!$E$4:$E$657,"RA-5",'Self-Assessment_Cases'!$I4:$I657,"Not Applicable")</f>
        <v>0</v>
      </c>
      <c r="U112" s="61"/>
      <c r="V112" s="68" t="e">
        <f t="shared" si="20"/>
        <v>#REF!</v>
      </c>
      <c r="W112" s="44" t="e">
        <f t="shared" si="21"/>
        <v>#REF!</v>
      </c>
    </row>
    <row r="113" spans="1:23" ht="15" customHeight="1" x14ac:dyDescent="0.2">
      <c r="A113" s="45" t="s">
        <v>1452</v>
      </c>
      <c r="B113" s="46" t="e">
        <f>COUNTIF('Self-Assessment_Cases'!#REF!,"*"&amp;A113&amp;"*")</f>
        <v>#REF!</v>
      </c>
      <c r="C113" s="63" t="e">
        <f t="shared" si="11"/>
        <v>#REF!</v>
      </c>
      <c r="D113" s="47">
        <f>COUNTIFS('Self-Assessment_Cases'!$E$4:$E$657,"SA-1",'Self-Assessment_Cases'!$I4:$I657,"In Progress - Administrative")</f>
        <v>0</v>
      </c>
      <c r="E113" s="64">
        <f t="shared" si="12"/>
        <v>0</v>
      </c>
      <c r="F113" s="62">
        <f>COUNTIFS('Self-Assessment_Cases'!$E$4:$E$657,"SA-1",'Self-Assessment_Cases'!$I4:$I657,"In Progress - Configuration")</f>
        <v>0</v>
      </c>
      <c r="G113" s="65">
        <f t="shared" si="13"/>
        <v>0</v>
      </c>
      <c r="H113" s="48">
        <f>COUNTIFS('Self-Assessment_Cases'!$E$4:$E$657,"SA-1",'Self-Assessment_Cases'!$I4:$I657,"In Progress - Installation/Upgrade")</f>
        <v>0</v>
      </c>
      <c r="I113" s="66">
        <f t="shared" si="14"/>
        <v>0</v>
      </c>
      <c r="J113" s="49">
        <f>COUNTIFS('Self-Assessment_Cases'!$E$4:$E$657,"SA-1",'Self-Assessment_Cases'!$I4:$I657,"Not Implemented - Compensating Control")</f>
        <v>0</v>
      </c>
      <c r="K113" s="67">
        <f t="shared" si="15"/>
        <v>0</v>
      </c>
      <c r="L113" s="50">
        <f>COUNTIFS('Self-Assessment_Cases'!$E$4:$E$657,"SA-1",'Self-Assessment_Cases'!$I4:$I657,"Not Implemented - Risk Negligible")</f>
        <v>0</v>
      </c>
      <c r="M113" s="56">
        <f t="shared" si="16"/>
        <v>0</v>
      </c>
      <c r="N113" s="57">
        <f>COUNTIFS('Self-Assessment_Cases'!$E$4:$E$657,"SA-1",'Self-Assessment_Cases'!$I4:$I657,"Not Implemented - Risk Accepted")</f>
        <v>0</v>
      </c>
      <c r="O113" s="57">
        <f t="shared" si="17"/>
        <v>0</v>
      </c>
      <c r="P113" s="58">
        <f>COUNTIFS('Self-Assessment_Cases'!$E$4:$E$657,"SA-1",'Self-Assessment_Cases'!$I4:$I657,"Not Implemented - Planned")</f>
        <v>0</v>
      </c>
      <c r="Q113" s="58">
        <f t="shared" si="18"/>
        <v>0</v>
      </c>
      <c r="R113" s="59">
        <f>COUNTIFS('Self-Assessment_Cases'!$E$4:$E$657,"SA-1",'Self-Assessment_Cases'!$I4:$I657,"Not Implemented - Unplanned")</f>
        <v>0</v>
      </c>
      <c r="S113" s="59">
        <f t="shared" si="19"/>
        <v>0</v>
      </c>
      <c r="T113" s="60">
        <f>COUNTIFS('Self-Assessment_Cases'!$E$4:$E$657,"SA-1",'Self-Assessment_Cases'!$I4:$I657,"Not Applicable")</f>
        <v>0</v>
      </c>
      <c r="U113" s="61"/>
      <c r="V113" s="68" t="e">
        <f t="shared" si="20"/>
        <v>#REF!</v>
      </c>
      <c r="W113" s="44" t="e">
        <f t="shared" si="21"/>
        <v>#REF!</v>
      </c>
    </row>
    <row r="114" spans="1:23" ht="15" customHeight="1" x14ac:dyDescent="0.2">
      <c r="A114" s="45" t="s">
        <v>1541</v>
      </c>
      <c r="B114" s="46" t="e">
        <f>COUNTIF('Self-Assessment_Cases'!#REF!,"*"&amp;A114&amp;"*")</f>
        <v>#REF!</v>
      </c>
      <c r="C114" s="63" t="e">
        <f t="shared" si="11"/>
        <v>#REF!</v>
      </c>
      <c r="D114" s="47">
        <f>COUNTIFS('Self-Assessment_Cases'!$E$4:$E$657,"SA-10",'Self-Assessment_Cases'!$I4:$I657,"In Progress - Administrative")</f>
        <v>0</v>
      </c>
      <c r="E114" s="64">
        <f t="shared" si="12"/>
        <v>0</v>
      </c>
      <c r="F114" s="62">
        <f>COUNTIFS('Self-Assessment_Cases'!$E$4:$E$657,"SA-10",'Self-Assessment_Cases'!$I4:$I657,"In Progress - Configuration")</f>
        <v>0</v>
      </c>
      <c r="G114" s="65">
        <f t="shared" si="13"/>
        <v>0</v>
      </c>
      <c r="H114" s="48">
        <f>COUNTIFS('Self-Assessment_Cases'!$E$4:$E$657,"SA-10",'Self-Assessment_Cases'!$I4:$I657,"In Progress - Installation/Upgrade")</f>
        <v>0</v>
      </c>
      <c r="I114" s="66">
        <f t="shared" si="14"/>
        <v>0</v>
      </c>
      <c r="J114" s="49">
        <f>COUNTIFS('Self-Assessment_Cases'!$E$4:$E$657,"SA-10",'Self-Assessment_Cases'!$I4:$I657,"Not Implemented - Compensating Control")</f>
        <v>0</v>
      </c>
      <c r="K114" s="67">
        <f t="shared" si="15"/>
        <v>0</v>
      </c>
      <c r="L114" s="50">
        <f>COUNTIFS('Self-Assessment_Cases'!$E$4:$E$657,"SA-10",'Self-Assessment_Cases'!$I4:$I657,"Not Implemented - Risk Negligible")</f>
        <v>0</v>
      </c>
      <c r="M114" s="56">
        <f t="shared" si="16"/>
        <v>0</v>
      </c>
      <c r="N114" s="57">
        <f>COUNTIFS('Self-Assessment_Cases'!$E$4:$E$657,"SA-10",'Self-Assessment_Cases'!$I4:$I657,"Not Implemented - Risk Accepted")</f>
        <v>0</v>
      </c>
      <c r="O114" s="57">
        <f t="shared" si="17"/>
        <v>0</v>
      </c>
      <c r="P114" s="58">
        <f>COUNTIFS('Self-Assessment_Cases'!$E$4:$E$657,"SA-10",'Self-Assessment_Cases'!$I4:$I657,"Not Implemented - Planned")</f>
        <v>0</v>
      </c>
      <c r="Q114" s="58">
        <f t="shared" si="18"/>
        <v>0</v>
      </c>
      <c r="R114" s="59">
        <f>COUNTIFS('Self-Assessment_Cases'!$E$4:$E$657,"SA-10",'Self-Assessment_Cases'!$I4:$I657,"Not Implemented - Unplanned")</f>
        <v>0</v>
      </c>
      <c r="S114" s="59">
        <f t="shared" si="19"/>
        <v>0</v>
      </c>
      <c r="T114" s="60">
        <f>COUNTIFS('Self-Assessment_Cases'!$E$4:$E$657,"SA-10",'Self-Assessment_Cases'!$I4:$I657,"Not Applicable")</f>
        <v>0</v>
      </c>
      <c r="U114" s="61"/>
      <c r="V114" s="68" t="e">
        <f t="shared" si="20"/>
        <v>#REF!</v>
      </c>
      <c r="W114" s="44" t="e">
        <f t="shared" si="21"/>
        <v>#REF!</v>
      </c>
    </row>
    <row r="115" spans="1:23" ht="15" customHeight="1" x14ac:dyDescent="0.2">
      <c r="A115" s="45" t="s">
        <v>1542</v>
      </c>
      <c r="B115" s="46" t="e">
        <f>COUNTIF('Self-Assessment_Cases'!#REF!,"*"&amp;A115&amp;"*")</f>
        <v>#REF!</v>
      </c>
      <c r="C115" s="63" t="e">
        <f t="shared" si="11"/>
        <v>#REF!</v>
      </c>
      <c r="D115" s="47">
        <f>COUNTIFS('Self-Assessment_Cases'!$E$4:$E$657,"SA-11",'Self-Assessment_Cases'!$I4:$I657,"In Progress - Administrative")</f>
        <v>0</v>
      </c>
      <c r="E115" s="64">
        <f t="shared" si="12"/>
        <v>0</v>
      </c>
      <c r="F115" s="62">
        <f>COUNTIFS('Self-Assessment_Cases'!$E$4:$E$657,"SA-11",'Self-Assessment_Cases'!$I4:$I657,"In Progress - Configuration")</f>
        <v>0</v>
      </c>
      <c r="G115" s="65">
        <f t="shared" si="13"/>
        <v>0</v>
      </c>
      <c r="H115" s="48">
        <f>COUNTIFS('Self-Assessment_Cases'!$E$4:$E$657,"SA-11",'Self-Assessment_Cases'!$I4:$I657,"In Progress - Installation/Upgrade")</f>
        <v>0</v>
      </c>
      <c r="I115" s="66">
        <f t="shared" si="14"/>
        <v>0</v>
      </c>
      <c r="J115" s="49">
        <f>COUNTIFS('Self-Assessment_Cases'!$E$4:$E$657,"SA-11",'Self-Assessment_Cases'!$I4:$I657,"Not Implemented - Compensating Control")</f>
        <v>0</v>
      </c>
      <c r="K115" s="67">
        <f t="shared" si="15"/>
        <v>0</v>
      </c>
      <c r="L115" s="50">
        <f>COUNTIFS('Self-Assessment_Cases'!$E$4:$E$657,"SA-11",'Self-Assessment_Cases'!$I4:$I657,"Not Implemented - Risk Negligible")</f>
        <v>0</v>
      </c>
      <c r="M115" s="56">
        <f t="shared" si="16"/>
        <v>0</v>
      </c>
      <c r="N115" s="57">
        <f>COUNTIFS('Self-Assessment_Cases'!$E$4:$E$657,"SA-11",'Self-Assessment_Cases'!$I4:$I657,"Not Implemented - Risk Accepted")</f>
        <v>0</v>
      </c>
      <c r="O115" s="57">
        <f t="shared" si="17"/>
        <v>0</v>
      </c>
      <c r="P115" s="58">
        <f>COUNTIFS('Self-Assessment_Cases'!$E$4:$E$657,"SA-11",'Self-Assessment_Cases'!$I4:$I657,"Not Implemented - Planned")</f>
        <v>0</v>
      </c>
      <c r="Q115" s="58">
        <f t="shared" si="18"/>
        <v>0</v>
      </c>
      <c r="R115" s="59">
        <f>COUNTIFS('Self-Assessment_Cases'!$E$4:$E$657,"SA-11",'Self-Assessment_Cases'!$I4:$I657,"Not Implemented - Unplanned")</f>
        <v>0</v>
      </c>
      <c r="S115" s="59">
        <f t="shared" si="19"/>
        <v>0</v>
      </c>
      <c r="T115" s="60">
        <f>COUNTIFS('Self-Assessment_Cases'!$E$4:$E$657,"SA-11",'Self-Assessment_Cases'!$I4:$I657,"Not Applicable")</f>
        <v>0</v>
      </c>
      <c r="U115" s="61"/>
      <c r="V115" s="68" t="e">
        <f t="shared" si="20"/>
        <v>#REF!</v>
      </c>
      <c r="W115" s="44" t="e">
        <f t="shared" si="21"/>
        <v>#REF!</v>
      </c>
    </row>
    <row r="116" spans="1:23" ht="15" customHeight="1" x14ac:dyDescent="0.2">
      <c r="A116" s="45" t="s">
        <v>1543</v>
      </c>
      <c r="B116" s="46" t="e">
        <f>COUNTIF('Self-Assessment_Cases'!#REF!,"*"&amp;A116&amp;"*")</f>
        <v>#REF!</v>
      </c>
      <c r="C116" s="63" t="e">
        <f t="shared" si="11"/>
        <v>#REF!</v>
      </c>
      <c r="D116" s="47">
        <f>COUNTIFS('Self-Assessment_Cases'!$E$4:$E$657,"SA-12",'Self-Assessment_Cases'!$I4:$I657,"In Progress - Administrative")</f>
        <v>0</v>
      </c>
      <c r="E116" s="64">
        <f t="shared" si="12"/>
        <v>0</v>
      </c>
      <c r="F116" s="62">
        <f>COUNTIFS('Self-Assessment_Cases'!$E$4:$E$657,"SA-12",'Self-Assessment_Cases'!$I4:$I657,"In Progress - Configuration")</f>
        <v>0</v>
      </c>
      <c r="G116" s="65">
        <f t="shared" si="13"/>
        <v>0</v>
      </c>
      <c r="H116" s="48">
        <f>COUNTIFS('Self-Assessment_Cases'!$E$4:$E$657,"SA-12",'Self-Assessment_Cases'!$I4:$I657,"In Progress - Installation/Upgrade")</f>
        <v>0</v>
      </c>
      <c r="I116" s="66">
        <f t="shared" si="14"/>
        <v>0</v>
      </c>
      <c r="J116" s="49">
        <f>COUNTIFS('Self-Assessment_Cases'!$E$4:$E$657,"SA-12",'Self-Assessment_Cases'!$I4:$I657,"Not Implemented - Compensating Control")</f>
        <v>0</v>
      </c>
      <c r="K116" s="67">
        <f t="shared" si="15"/>
        <v>0</v>
      </c>
      <c r="L116" s="50">
        <f>COUNTIFS('Self-Assessment_Cases'!$E$4:$E$657,"SA-12",'Self-Assessment_Cases'!$I4:$I657,"Not Implemented - Risk Negligible")</f>
        <v>0</v>
      </c>
      <c r="M116" s="56">
        <f t="shared" si="16"/>
        <v>0</v>
      </c>
      <c r="N116" s="57">
        <f>COUNTIFS('Self-Assessment_Cases'!$E$4:$E$657,"SA-12",'Self-Assessment_Cases'!$I4:$I657,"Not Implemented - Risk Accepted")</f>
        <v>0</v>
      </c>
      <c r="O116" s="57">
        <f t="shared" si="17"/>
        <v>0</v>
      </c>
      <c r="P116" s="58">
        <f>COUNTIFS('Self-Assessment_Cases'!$E$4:$E$657,"SA-12",'Self-Assessment_Cases'!$I4:$I657,"Not Implemented - Planned")</f>
        <v>0</v>
      </c>
      <c r="Q116" s="58">
        <f t="shared" si="18"/>
        <v>0</v>
      </c>
      <c r="R116" s="59">
        <f>COUNTIFS('Self-Assessment_Cases'!$E$4:$E$657,"SA-12",'Self-Assessment_Cases'!$I4:$I657,"Not Implemented - Unplanned")</f>
        <v>0</v>
      </c>
      <c r="S116" s="59">
        <f t="shared" si="19"/>
        <v>0</v>
      </c>
      <c r="T116" s="60">
        <f>COUNTIFS('Self-Assessment_Cases'!$E$4:$E$657,"SA-12",'Self-Assessment_Cases'!$I4:$I657,"Not Applicable")</f>
        <v>0</v>
      </c>
      <c r="U116" s="61"/>
      <c r="V116" s="68" t="e">
        <f t="shared" si="20"/>
        <v>#REF!</v>
      </c>
      <c r="W116" s="44" t="e">
        <f t="shared" si="21"/>
        <v>#REF!</v>
      </c>
    </row>
    <row r="117" spans="1:23" ht="15" customHeight="1" x14ac:dyDescent="0.2">
      <c r="A117" s="45" t="s">
        <v>1544</v>
      </c>
      <c r="B117" s="46" t="e">
        <f>COUNTIF('Self-Assessment_Cases'!#REF!,"*"&amp;A117&amp;"*")</f>
        <v>#REF!</v>
      </c>
      <c r="C117" s="63" t="e">
        <f t="shared" si="11"/>
        <v>#REF!</v>
      </c>
      <c r="D117" s="47">
        <f>COUNTIFS('Self-Assessment_Cases'!$E$4:$E$657,"SA-14",'Self-Assessment_Cases'!$I4:$I657,"In Progress - Administrative")</f>
        <v>0</v>
      </c>
      <c r="E117" s="64">
        <f t="shared" si="12"/>
        <v>0</v>
      </c>
      <c r="F117" s="62">
        <f>COUNTIFS('Self-Assessment_Cases'!$E$4:$E$657,"SA-14",'Self-Assessment_Cases'!$I4:$I657,"In Progress - Configuration")</f>
        <v>0</v>
      </c>
      <c r="G117" s="65">
        <f t="shared" si="13"/>
        <v>0</v>
      </c>
      <c r="H117" s="48">
        <f>COUNTIFS('Self-Assessment_Cases'!$E$4:$E$657,"SA-14",'Self-Assessment_Cases'!$I4:$I657,"In Progress - Installation/Upgrade")</f>
        <v>0</v>
      </c>
      <c r="I117" s="66">
        <f t="shared" si="14"/>
        <v>0</v>
      </c>
      <c r="J117" s="49">
        <f>COUNTIFS('Self-Assessment_Cases'!$E$4:$E$657,"SA-14",'Self-Assessment_Cases'!$I4:$I657,"Not Implemented - Compensating Control")</f>
        <v>0</v>
      </c>
      <c r="K117" s="67">
        <f t="shared" si="15"/>
        <v>0</v>
      </c>
      <c r="L117" s="50">
        <f>COUNTIFS('Self-Assessment_Cases'!$E$4:$E$657,"SA-14",'Self-Assessment_Cases'!$I4:$I657,"Not Implemented - Risk Negligible")</f>
        <v>0</v>
      </c>
      <c r="M117" s="56">
        <f t="shared" si="16"/>
        <v>0</v>
      </c>
      <c r="N117" s="57">
        <f>COUNTIFS('Self-Assessment_Cases'!$E$4:$E$657,"SA-14",'Self-Assessment_Cases'!$I4:$I657,"Not Implemented - Risk Accepted")</f>
        <v>0</v>
      </c>
      <c r="O117" s="57">
        <f t="shared" si="17"/>
        <v>0</v>
      </c>
      <c r="P117" s="58">
        <f>COUNTIFS('Self-Assessment_Cases'!$E$4:$E$657,"SA-14",'Self-Assessment_Cases'!$I4:$I657,"Not Implemented - Planned")</f>
        <v>0</v>
      </c>
      <c r="Q117" s="58">
        <f t="shared" si="18"/>
        <v>0</v>
      </c>
      <c r="R117" s="59">
        <f>COUNTIFS('Self-Assessment_Cases'!$E$4:$E$657,"SA-14",'Self-Assessment_Cases'!$I4:$I657,"Not Implemented - Unplanned")</f>
        <v>0</v>
      </c>
      <c r="S117" s="59">
        <f t="shared" si="19"/>
        <v>0</v>
      </c>
      <c r="T117" s="60">
        <f>COUNTIFS('Self-Assessment_Cases'!$E$4:$E$657,"SA-14",'Self-Assessment_Cases'!$I4:$I657,"Not Applicable")</f>
        <v>0</v>
      </c>
      <c r="U117" s="61"/>
      <c r="V117" s="68" t="e">
        <f t="shared" si="20"/>
        <v>#REF!</v>
      </c>
      <c r="W117" s="44" t="e">
        <f t="shared" si="21"/>
        <v>#REF!</v>
      </c>
    </row>
    <row r="118" spans="1:23" ht="15" customHeight="1" x14ac:dyDescent="0.2">
      <c r="A118" s="45" t="s">
        <v>1545</v>
      </c>
      <c r="B118" s="46" t="e">
        <f>COUNTIF('Self-Assessment_Cases'!#REF!,"*"&amp;A118&amp;"*")</f>
        <v>#REF!</v>
      </c>
      <c r="C118" s="63" t="e">
        <f t="shared" si="11"/>
        <v>#REF!</v>
      </c>
      <c r="D118" s="47">
        <f>COUNTIFS('Self-Assessment_Cases'!$E$4:$E$657,"SA-15",'Self-Assessment_Cases'!$I4:$I657,"In Progress - Administrative")</f>
        <v>0</v>
      </c>
      <c r="E118" s="64">
        <f t="shared" si="12"/>
        <v>0</v>
      </c>
      <c r="F118" s="62">
        <f>COUNTIFS('Self-Assessment_Cases'!$E$4:$E$657,"SA-15",'Self-Assessment_Cases'!$I4:$I657,"In Progress - Configuration")</f>
        <v>0</v>
      </c>
      <c r="G118" s="65">
        <f t="shared" si="13"/>
        <v>0</v>
      </c>
      <c r="H118" s="48">
        <f>COUNTIFS('Self-Assessment_Cases'!$E$4:$E$657,"SA-15",'Self-Assessment_Cases'!$I4:$I657,"In Progress - Installation/Upgrade")</f>
        <v>0</v>
      </c>
      <c r="I118" s="66">
        <f t="shared" si="14"/>
        <v>0</v>
      </c>
      <c r="J118" s="49">
        <f>COUNTIFS('Self-Assessment_Cases'!$E$4:$E$657,"SA-15",'Self-Assessment_Cases'!$I4:$I657,"Not Implemented - Compensating Control")</f>
        <v>0</v>
      </c>
      <c r="K118" s="67">
        <f t="shared" si="15"/>
        <v>0</v>
      </c>
      <c r="L118" s="50">
        <f>COUNTIFS('Self-Assessment_Cases'!$E$4:$E$657,"SA-15",'Self-Assessment_Cases'!$I4:$I657,"Not Implemented - Risk Negligible")</f>
        <v>0</v>
      </c>
      <c r="M118" s="56">
        <f t="shared" si="16"/>
        <v>0</v>
      </c>
      <c r="N118" s="57">
        <f>COUNTIFS('Self-Assessment_Cases'!$E$4:$E$657,"SA-15",'Self-Assessment_Cases'!$I4:$I657,"Not Implemented - Risk Accepted")</f>
        <v>0</v>
      </c>
      <c r="O118" s="57">
        <f t="shared" si="17"/>
        <v>0</v>
      </c>
      <c r="P118" s="58">
        <f>COUNTIFS('Self-Assessment_Cases'!$E$4:$E$657,"SA-15",'Self-Assessment_Cases'!$I4:$I657,"Not Implemented - Planned")</f>
        <v>0</v>
      </c>
      <c r="Q118" s="58">
        <f t="shared" si="18"/>
        <v>0</v>
      </c>
      <c r="R118" s="59">
        <f>COUNTIFS('Self-Assessment_Cases'!$E$4:$E$657,"SA-15",'Self-Assessment_Cases'!$I4:$I657,"Not Implemented - Unplanned")</f>
        <v>0</v>
      </c>
      <c r="S118" s="59">
        <f t="shared" si="19"/>
        <v>0</v>
      </c>
      <c r="T118" s="60">
        <f>COUNTIFS('Self-Assessment_Cases'!$E$4:$E$657,"SA-15",'Self-Assessment_Cases'!$I4:$I657,"Not Applicable")</f>
        <v>0</v>
      </c>
      <c r="U118" s="61"/>
      <c r="V118" s="68" t="e">
        <f t="shared" si="20"/>
        <v>#REF!</v>
      </c>
      <c r="W118" s="44" t="e">
        <f t="shared" si="21"/>
        <v>#REF!</v>
      </c>
    </row>
    <row r="119" spans="1:23" ht="15" customHeight="1" x14ac:dyDescent="0.2">
      <c r="A119" s="45" t="s">
        <v>1546</v>
      </c>
      <c r="B119" s="46" t="e">
        <f>COUNTIF('Self-Assessment_Cases'!#REF!,"*"&amp;A119&amp;"*")</f>
        <v>#REF!</v>
      </c>
      <c r="C119" s="63" t="e">
        <f t="shared" si="11"/>
        <v>#REF!</v>
      </c>
      <c r="D119" s="47">
        <f>COUNTIFS('Self-Assessment_Cases'!$E$4:$E$657,"SA-17",'Self-Assessment_Cases'!$I4:$I657,"In Progress - Administrative")</f>
        <v>0</v>
      </c>
      <c r="E119" s="64">
        <f t="shared" si="12"/>
        <v>0</v>
      </c>
      <c r="F119" s="62">
        <f>COUNTIFS('Self-Assessment_Cases'!$E$4:$E$657,"SA-17",'Self-Assessment_Cases'!$I4:$I657,"In Progress - Configuration")</f>
        <v>0</v>
      </c>
      <c r="G119" s="65">
        <f t="shared" si="13"/>
        <v>0</v>
      </c>
      <c r="H119" s="48">
        <f>COUNTIFS('Self-Assessment_Cases'!$E$4:$E$657,"SA-17",'Self-Assessment_Cases'!$I4:$I657,"In Progress - Installation/Upgrade")</f>
        <v>0</v>
      </c>
      <c r="I119" s="66">
        <f t="shared" si="14"/>
        <v>0</v>
      </c>
      <c r="J119" s="49">
        <f>COUNTIFS('Self-Assessment_Cases'!$E$4:$E$657,"SA-17",'Self-Assessment_Cases'!$I4:$I657,"Not Implemented - Compensating Control")</f>
        <v>0</v>
      </c>
      <c r="K119" s="67">
        <f t="shared" si="15"/>
        <v>0</v>
      </c>
      <c r="L119" s="50">
        <f>COUNTIFS('Self-Assessment_Cases'!$E$4:$E$657,"SA-17",'Self-Assessment_Cases'!$I4:$I657,"Not Implemented - Risk Negligible")</f>
        <v>0</v>
      </c>
      <c r="M119" s="56">
        <f t="shared" si="16"/>
        <v>0</v>
      </c>
      <c r="N119" s="57">
        <f>COUNTIFS('Self-Assessment_Cases'!$E$4:$E$657,"SA-17",'Self-Assessment_Cases'!$I4:$I657,"Not Implemented - Risk Accepted")</f>
        <v>0</v>
      </c>
      <c r="O119" s="57">
        <f t="shared" si="17"/>
        <v>0</v>
      </c>
      <c r="P119" s="58">
        <f>COUNTIFS('Self-Assessment_Cases'!$E$4:$E$657,"SA-17",'Self-Assessment_Cases'!$I4:$I657,"Not Implemented - Planned")</f>
        <v>0</v>
      </c>
      <c r="Q119" s="58">
        <f t="shared" si="18"/>
        <v>0</v>
      </c>
      <c r="R119" s="59">
        <f>COUNTIFS('Self-Assessment_Cases'!$E$4:$E$657,"SA-17",'Self-Assessment_Cases'!$I4:$I657,"Not Implemented - Unplanned")</f>
        <v>0</v>
      </c>
      <c r="S119" s="59">
        <f t="shared" si="19"/>
        <v>0</v>
      </c>
      <c r="T119" s="60">
        <f>COUNTIFS('Self-Assessment_Cases'!$E$4:$E$657,"SA-17",'Self-Assessment_Cases'!$I4:$I657,"Not Applicable")</f>
        <v>0</v>
      </c>
      <c r="U119" s="61"/>
      <c r="V119" s="68" t="e">
        <f t="shared" si="20"/>
        <v>#REF!</v>
      </c>
      <c r="W119" s="44" t="e">
        <f t="shared" si="21"/>
        <v>#REF!</v>
      </c>
    </row>
    <row r="120" spans="1:23" ht="15" customHeight="1" x14ac:dyDescent="0.2">
      <c r="A120" s="45" t="s">
        <v>1547</v>
      </c>
      <c r="B120" s="46" t="e">
        <f>COUNTIF('Self-Assessment_Cases'!#REF!,"*"&amp;A120&amp;"*")</f>
        <v>#REF!</v>
      </c>
      <c r="C120" s="63" t="e">
        <f t="shared" si="11"/>
        <v>#REF!</v>
      </c>
      <c r="D120" s="47">
        <f>COUNTIFS('Self-Assessment_Cases'!$E$4:$E$657,"SA-3",'Self-Assessment_Cases'!$I4:$I657,"In Progress - Administrative")</f>
        <v>0</v>
      </c>
      <c r="E120" s="64">
        <f t="shared" si="12"/>
        <v>0</v>
      </c>
      <c r="F120" s="62">
        <f>COUNTIFS('Self-Assessment_Cases'!$E$4:$E$657,"SA-3",'Self-Assessment_Cases'!$I4:$I657,"In Progress - Configuration")</f>
        <v>0</v>
      </c>
      <c r="G120" s="65">
        <f t="shared" si="13"/>
        <v>0</v>
      </c>
      <c r="H120" s="48">
        <f>COUNTIFS('Self-Assessment_Cases'!$E$4:$E$657,"SA-3",'Self-Assessment_Cases'!$I4:$I657,"In Progress - Installation/Upgrade")</f>
        <v>0</v>
      </c>
      <c r="I120" s="66">
        <f t="shared" si="14"/>
        <v>0</v>
      </c>
      <c r="J120" s="49">
        <f>COUNTIFS('Self-Assessment_Cases'!$E$4:$E$657,"SA-3",'Self-Assessment_Cases'!$I4:$I657,"Not Implemented - Compensating Control")</f>
        <v>0</v>
      </c>
      <c r="K120" s="67">
        <f t="shared" si="15"/>
        <v>0</v>
      </c>
      <c r="L120" s="50">
        <f>COUNTIFS('Self-Assessment_Cases'!$E$4:$E$657,"SA-3",'Self-Assessment_Cases'!$I4:$I657,"Not Implemented - Risk Negligible")</f>
        <v>0</v>
      </c>
      <c r="M120" s="56">
        <f t="shared" si="16"/>
        <v>0</v>
      </c>
      <c r="N120" s="57">
        <f>COUNTIFS('Self-Assessment_Cases'!$E$4:$E$657,"SA-3",'Self-Assessment_Cases'!$I4:$I657,"Not Implemented - Risk Accepted")</f>
        <v>0</v>
      </c>
      <c r="O120" s="57">
        <f t="shared" si="17"/>
        <v>0</v>
      </c>
      <c r="P120" s="58">
        <f>COUNTIFS('Self-Assessment_Cases'!$E$4:$E$657,"SA-3",'Self-Assessment_Cases'!$I4:$I657,"Not Implemented - Planned")</f>
        <v>0</v>
      </c>
      <c r="Q120" s="58">
        <f t="shared" si="18"/>
        <v>0</v>
      </c>
      <c r="R120" s="59">
        <f>COUNTIFS('Self-Assessment_Cases'!$E$4:$E$657,"SA-3",'Self-Assessment_Cases'!$I4:$I657,"Not Implemented - Unplanned")</f>
        <v>0</v>
      </c>
      <c r="S120" s="59">
        <f t="shared" si="19"/>
        <v>0</v>
      </c>
      <c r="T120" s="60">
        <f>COUNTIFS('Self-Assessment_Cases'!$E$4:$E$657,"SA-3",'Self-Assessment_Cases'!$I4:$I657,"Not Applicable")</f>
        <v>0</v>
      </c>
      <c r="U120" s="61"/>
      <c r="V120" s="68" t="e">
        <f t="shared" si="20"/>
        <v>#REF!</v>
      </c>
      <c r="W120" s="44" t="e">
        <f t="shared" si="21"/>
        <v>#REF!</v>
      </c>
    </row>
    <row r="121" spans="1:23" ht="15" customHeight="1" x14ac:dyDescent="0.2">
      <c r="A121" s="45" t="s">
        <v>1548</v>
      </c>
      <c r="B121" s="46" t="e">
        <f>COUNTIF('Self-Assessment_Cases'!#REF!,"*"&amp;A121&amp;"*")</f>
        <v>#REF!</v>
      </c>
      <c r="C121" s="63" t="e">
        <f t="shared" si="11"/>
        <v>#REF!</v>
      </c>
      <c r="D121" s="47">
        <f>COUNTIFS('Self-Assessment_Cases'!$E$4:$E$657,"SA-4",'Self-Assessment_Cases'!$I4:$I657,"In Progress - Administrative")</f>
        <v>0</v>
      </c>
      <c r="E121" s="64">
        <f t="shared" si="12"/>
        <v>0</v>
      </c>
      <c r="F121" s="62">
        <f>COUNTIFS('Self-Assessment_Cases'!$E$4:$E$657,"SA-4",'Self-Assessment_Cases'!$I4:$I657,"In Progress - Configuration")</f>
        <v>0</v>
      </c>
      <c r="G121" s="65">
        <f t="shared" si="13"/>
        <v>0</v>
      </c>
      <c r="H121" s="48">
        <f>COUNTIFS('Self-Assessment_Cases'!$E$4:$E$657,"SA-4",'Self-Assessment_Cases'!$I4:$I657,"In Progress - Installation/Upgrade")</f>
        <v>0</v>
      </c>
      <c r="I121" s="66">
        <f t="shared" si="14"/>
        <v>0</v>
      </c>
      <c r="J121" s="49">
        <f>COUNTIFS('Self-Assessment_Cases'!$E$4:$E$657,"SA-4",'Self-Assessment_Cases'!$I4:$I657,"Not Implemented - Compensating Control")</f>
        <v>0</v>
      </c>
      <c r="K121" s="67">
        <f t="shared" si="15"/>
        <v>0</v>
      </c>
      <c r="L121" s="50">
        <f>COUNTIFS('Self-Assessment_Cases'!$E$4:$E$657,"SA-4",'Self-Assessment_Cases'!$I4:$I657,"Not Implemented - Risk Negligible")</f>
        <v>0</v>
      </c>
      <c r="M121" s="56">
        <f t="shared" si="16"/>
        <v>0</v>
      </c>
      <c r="N121" s="57">
        <f>COUNTIFS('Self-Assessment_Cases'!$E$4:$E$657,"SA-4",'Self-Assessment_Cases'!$I4:$I657,"Not Implemented - Risk Accepted")</f>
        <v>0</v>
      </c>
      <c r="O121" s="57">
        <f t="shared" si="17"/>
        <v>0</v>
      </c>
      <c r="P121" s="58">
        <f>COUNTIFS('Self-Assessment_Cases'!$E$4:$E$657,"SA-4",'Self-Assessment_Cases'!$I4:$I657,"Not Implemented - Planned")</f>
        <v>0</v>
      </c>
      <c r="Q121" s="58">
        <f t="shared" si="18"/>
        <v>0</v>
      </c>
      <c r="R121" s="59">
        <f>COUNTIFS('Self-Assessment_Cases'!$E$4:$E$657,"SA-4",'Self-Assessment_Cases'!$I4:$I657,"Not Implemented - Unplanned")</f>
        <v>0</v>
      </c>
      <c r="S121" s="59">
        <f t="shared" si="19"/>
        <v>0</v>
      </c>
      <c r="T121" s="60">
        <f>COUNTIFS('Self-Assessment_Cases'!$E$4:$E$657,"SA-4",'Self-Assessment_Cases'!$I4:$I657,"Not Applicable")</f>
        <v>0</v>
      </c>
      <c r="U121" s="61"/>
      <c r="V121" s="68" t="e">
        <f t="shared" si="20"/>
        <v>#REF!</v>
      </c>
      <c r="W121" s="44" t="e">
        <f t="shared" si="21"/>
        <v>#REF!</v>
      </c>
    </row>
    <row r="122" spans="1:23" ht="15" customHeight="1" x14ac:dyDescent="0.2">
      <c r="A122" s="45" t="s">
        <v>1453</v>
      </c>
      <c r="B122" s="46" t="e">
        <f>COUNTIF('Self-Assessment_Cases'!#REF!,"*"&amp;A122&amp;"*")</f>
        <v>#REF!</v>
      </c>
      <c r="C122" s="63" t="e">
        <f t="shared" si="11"/>
        <v>#REF!</v>
      </c>
      <c r="D122" s="47">
        <f>COUNTIFS('Self-Assessment_Cases'!$E$4:$E$657,"SA-5",'Self-Assessment_Cases'!$I4:$I657,"In Progress - Administrative")</f>
        <v>0</v>
      </c>
      <c r="E122" s="64">
        <f t="shared" si="12"/>
        <v>0</v>
      </c>
      <c r="F122" s="62">
        <f>COUNTIFS('Self-Assessment_Cases'!$E$4:$E$657,"SA-5",'Self-Assessment_Cases'!$I4:$I657,"In Progress - Configuration")</f>
        <v>0</v>
      </c>
      <c r="G122" s="65">
        <f t="shared" si="13"/>
        <v>0</v>
      </c>
      <c r="H122" s="48">
        <f>COUNTIFS('Self-Assessment_Cases'!$E$4:$E$657,"SA-5",'Self-Assessment_Cases'!$I4:$I657,"In Progress - Installation/Upgrade")</f>
        <v>0</v>
      </c>
      <c r="I122" s="66">
        <f t="shared" si="14"/>
        <v>0</v>
      </c>
      <c r="J122" s="49">
        <f>COUNTIFS('Self-Assessment_Cases'!$E$4:$E$657,"SA-5",'Self-Assessment_Cases'!$I4:$I657,"Not Implemented - Compensating Control")</f>
        <v>0</v>
      </c>
      <c r="K122" s="67">
        <f t="shared" si="15"/>
        <v>0</v>
      </c>
      <c r="L122" s="50">
        <f>COUNTIFS('Self-Assessment_Cases'!$E$4:$E$657,"SA-5",'Self-Assessment_Cases'!$I4:$I657,"Not Implemented - Risk Negligible")</f>
        <v>0</v>
      </c>
      <c r="M122" s="56">
        <f t="shared" si="16"/>
        <v>0</v>
      </c>
      <c r="N122" s="57">
        <f>COUNTIFS('Self-Assessment_Cases'!$E$4:$E$657,"SA-5",'Self-Assessment_Cases'!$I4:$I657,"Not Implemented - Risk Accepted")</f>
        <v>0</v>
      </c>
      <c r="O122" s="57">
        <f t="shared" si="17"/>
        <v>0</v>
      </c>
      <c r="P122" s="58">
        <f>COUNTIFS('Self-Assessment_Cases'!$E$4:$E$657,"SA-5",'Self-Assessment_Cases'!$I4:$I657,"Not Implemented - Planned")</f>
        <v>0</v>
      </c>
      <c r="Q122" s="58">
        <f t="shared" si="18"/>
        <v>0</v>
      </c>
      <c r="R122" s="59">
        <f>COUNTIFS('Self-Assessment_Cases'!$E$4:$E$657,"SA-5",'Self-Assessment_Cases'!$I4:$I657,"Not Implemented - Unplanned")</f>
        <v>0</v>
      </c>
      <c r="S122" s="59">
        <f t="shared" si="19"/>
        <v>0</v>
      </c>
      <c r="T122" s="60">
        <f>COUNTIFS('Self-Assessment_Cases'!$E$4:$E$657,"SA-5",'Self-Assessment_Cases'!$I4:$I657,"Not Applicable")</f>
        <v>0</v>
      </c>
      <c r="U122" s="61"/>
      <c r="V122" s="68" t="e">
        <f t="shared" si="20"/>
        <v>#REF!</v>
      </c>
      <c r="W122" s="44" t="e">
        <f t="shared" si="21"/>
        <v>#REF!</v>
      </c>
    </row>
    <row r="123" spans="1:23" ht="15" customHeight="1" x14ac:dyDescent="0.2">
      <c r="A123" s="45" t="s">
        <v>1454</v>
      </c>
      <c r="B123" s="46" t="e">
        <f>COUNTIF('Self-Assessment_Cases'!#REF!,"*"&amp;A123&amp;"*")</f>
        <v>#REF!</v>
      </c>
      <c r="C123" s="63" t="e">
        <f t="shared" si="11"/>
        <v>#REF!</v>
      </c>
      <c r="D123" s="47">
        <f>COUNTIFS('Self-Assessment_Cases'!$E$4:$E$657,"SA-8",'Self-Assessment_Cases'!$I4:$I657,"In Progress - Administrative")</f>
        <v>0</v>
      </c>
      <c r="E123" s="64">
        <f t="shared" si="12"/>
        <v>0</v>
      </c>
      <c r="F123" s="62">
        <f>COUNTIFS('Self-Assessment_Cases'!$E$4:$E$657,"SA-8",'Self-Assessment_Cases'!$I4:$I657,"In Progress - Configuration")</f>
        <v>0</v>
      </c>
      <c r="G123" s="65">
        <f t="shared" si="13"/>
        <v>0</v>
      </c>
      <c r="H123" s="48">
        <f>COUNTIFS('Self-Assessment_Cases'!$E$4:$E$657,"SA-8",'Self-Assessment_Cases'!$I4:$I657,"In Progress - Installation/Upgrade")</f>
        <v>0</v>
      </c>
      <c r="I123" s="66">
        <f t="shared" si="14"/>
        <v>0</v>
      </c>
      <c r="J123" s="49">
        <f>COUNTIFS('Self-Assessment_Cases'!$E$4:$E$657,"SA-8",'Self-Assessment_Cases'!$I4:$I657,"Not Implemented - Compensating Control")</f>
        <v>0</v>
      </c>
      <c r="K123" s="67">
        <f t="shared" si="15"/>
        <v>0</v>
      </c>
      <c r="L123" s="50">
        <f>COUNTIFS('Self-Assessment_Cases'!$E$4:$E$657,"SA-8",'Self-Assessment_Cases'!$I4:$I657,"Not Implemented - Risk Negligible")</f>
        <v>0</v>
      </c>
      <c r="M123" s="56">
        <f t="shared" si="16"/>
        <v>0</v>
      </c>
      <c r="N123" s="57">
        <f>COUNTIFS('Self-Assessment_Cases'!$E$4:$E$657,"SA-8",'Self-Assessment_Cases'!$I4:$I657,"Not Implemented - Risk Accepted")</f>
        <v>0</v>
      </c>
      <c r="O123" s="57">
        <f t="shared" si="17"/>
        <v>0</v>
      </c>
      <c r="P123" s="58">
        <f>COUNTIFS('Self-Assessment_Cases'!$E$4:$E$657,"SA-8",'Self-Assessment_Cases'!$I4:$I657,"Not Implemented - Planned")</f>
        <v>0</v>
      </c>
      <c r="Q123" s="58">
        <f t="shared" si="18"/>
        <v>0</v>
      </c>
      <c r="R123" s="59">
        <f>COUNTIFS('Self-Assessment_Cases'!$E$4:$E$657,"SA-8",'Self-Assessment_Cases'!$I4:$I657,"Not Implemented - Unplanned")</f>
        <v>0</v>
      </c>
      <c r="S123" s="59">
        <f t="shared" si="19"/>
        <v>0</v>
      </c>
      <c r="T123" s="60">
        <f>COUNTIFS('Self-Assessment_Cases'!$E$4:$E$657,"SA-8",'Self-Assessment_Cases'!$I4:$I657,"Not Applicable")</f>
        <v>0</v>
      </c>
      <c r="U123" s="61"/>
      <c r="V123" s="68" t="e">
        <f t="shared" si="20"/>
        <v>#REF!</v>
      </c>
      <c r="W123" s="44" t="e">
        <f t="shared" si="21"/>
        <v>#REF!</v>
      </c>
    </row>
    <row r="124" spans="1:23" ht="15" customHeight="1" x14ac:dyDescent="0.2">
      <c r="A124" s="45" t="s">
        <v>1549</v>
      </c>
      <c r="B124" s="46" t="e">
        <f>COUNTIF('Self-Assessment_Cases'!#REF!,"*"&amp;A124&amp;"*")</f>
        <v>#REF!</v>
      </c>
      <c r="C124" s="63" t="e">
        <f t="shared" si="11"/>
        <v>#REF!</v>
      </c>
      <c r="D124" s="47">
        <f>COUNTIFS('Self-Assessment_Cases'!$E$4:$E$657,"SA-9",'Self-Assessment_Cases'!$I4:$I657,"In Progress - Administrative")</f>
        <v>0</v>
      </c>
      <c r="E124" s="64">
        <f t="shared" si="12"/>
        <v>0</v>
      </c>
      <c r="F124" s="62">
        <f>COUNTIFS('Self-Assessment_Cases'!$E$4:$E$657,"SA-9",'Self-Assessment_Cases'!$I4:$I657,"In Progress - Configuration")</f>
        <v>0</v>
      </c>
      <c r="G124" s="65">
        <f t="shared" si="13"/>
        <v>0</v>
      </c>
      <c r="H124" s="48">
        <f>COUNTIFS('Self-Assessment_Cases'!$E$4:$E$657,"SA-9",'Self-Assessment_Cases'!$I4:$I657,"In Progress - Installation/Upgrade")</f>
        <v>0</v>
      </c>
      <c r="I124" s="66">
        <f t="shared" si="14"/>
        <v>0</v>
      </c>
      <c r="J124" s="49">
        <f>COUNTIFS('Self-Assessment_Cases'!$E$4:$E$657,"SA-9",'Self-Assessment_Cases'!$I4:$I657,"Not Implemented - Compensating Control")</f>
        <v>0</v>
      </c>
      <c r="K124" s="67">
        <f t="shared" si="15"/>
        <v>0</v>
      </c>
      <c r="L124" s="50">
        <f>COUNTIFS('Self-Assessment_Cases'!$E$4:$E$657,"SA-9",'Self-Assessment_Cases'!$I4:$I657,"Not Implemented - Risk Negligible")</f>
        <v>0</v>
      </c>
      <c r="M124" s="56">
        <f t="shared" si="16"/>
        <v>0</v>
      </c>
      <c r="N124" s="57">
        <f>COUNTIFS('Self-Assessment_Cases'!$E$4:$E$657,"SA-9",'Self-Assessment_Cases'!$I4:$I657,"Not Implemented - Risk Accepted")</f>
        <v>0</v>
      </c>
      <c r="O124" s="57">
        <f t="shared" si="17"/>
        <v>0</v>
      </c>
      <c r="P124" s="58">
        <f>COUNTIFS('Self-Assessment_Cases'!$E$4:$E$657,"SA-9",'Self-Assessment_Cases'!$I4:$I657,"Not Implemented - Planned")</f>
        <v>0</v>
      </c>
      <c r="Q124" s="58">
        <f t="shared" si="18"/>
        <v>0</v>
      </c>
      <c r="R124" s="59">
        <f>COUNTIFS('Self-Assessment_Cases'!$E$4:$E$657,"SA-9",'Self-Assessment_Cases'!$I4:$I657,"Not Implemented - Unplanned")</f>
        <v>0</v>
      </c>
      <c r="S124" s="59">
        <f t="shared" si="19"/>
        <v>0</v>
      </c>
      <c r="T124" s="60">
        <f>COUNTIFS('Self-Assessment_Cases'!$E$4:$E$657,"SA-9",'Self-Assessment_Cases'!$I4:$I657,"Not Applicable")</f>
        <v>0</v>
      </c>
      <c r="U124" s="61"/>
      <c r="V124" s="68" t="e">
        <f t="shared" si="20"/>
        <v>#REF!</v>
      </c>
      <c r="W124" s="44" t="e">
        <f t="shared" si="21"/>
        <v>#REF!</v>
      </c>
    </row>
    <row r="125" spans="1:23" x14ac:dyDescent="0.2">
      <c r="A125" s="45" t="s">
        <v>1550</v>
      </c>
      <c r="B125" s="46" t="e">
        <f>COUNTIF('Self-Assessment_Cases'!#REF!,"*"&amp;A125&amp;"*")</f>
        <v>#REF!</v>
      </c>
      <c r="C125" s="63" t="e">
        <f t="shared" si="11"/>
        <v>#REF!</v>
      </c>
      <c r="D125" s="47">
        <f>COUNTIFS('Self-Assessment_Cases'!$E$4:$E$657,"SC-1",'Self-Assessment_Cases'!$I4:$I657,"In Progress - Administrative")</f>
        <v>0</v>
      </c>
      <c r="E125" s="64">
        <f t="shared" si="12"/>
        <v>0</v>
      </c>
      <c r="F125" s="62">
        <f>COUNTIFS('Self-Assessment_Cases'!$E$4:$E$657,"SC-1",'Self-Assessment_Cases'!$I4:$I657,"In Progress - Configuration")</f>
        <v>0</v>
      </c>
      <c r="G125" s="65">
        <f t="shared" si="13"/>
        <v>0</v>
      </c>
      <c r="H125" s="48">
        <f>COUNTIFS('Self-Assessment_Cases'!$E$4:$E$657,"SC-1",'Self-Assessment_Cases'!$I4:$I657,"In Progress - Installation/Upgrade")</f>
        <v>0</v>
      </c>
      <c r="I125" s="66">
        <f t="shared" si="14"/>
        <v>0</v>
      </c>
      <c r="J125" s="49">
        <f>COUNTIFS('Self-Assessment_Cases'!$E$4:$E$657,"SC-1",'Self-Assessment_Cases'!$I4:$I657,"Not Implemented - Compensating Control")</f>
        <v>0</v>
      </c>
      <c r="K125" s="67">
        <f t="shared" si="15"/>
        <v>0</v>
      </c>
      <c r="L125" s="50">
        <f>COUNTIFS('Self-Assessment_Cases'!$E$4:$E$657,"SC-1",'Self-Assessment_Cases'!$I4:$I657,"Not Implemented - Risk Negligible")</f>
        <v>0</v>
      </c>
      <c r="M125" s="56">
        <f t="shared" si="16"/>
        <v>0</v>
      </c>
      <c r="N125" s="57">
        <f>COUNTIFS('Self-Assessment_Cases'!$E$4:$E$657,"SC-1",'Self-Assessment_Cases'!$I4:$I657,"Not Implemented - Risk Accepted")</f>
        <v>0</v>
      </c>
      <c r="O125" s="57">
        <f t="shared" si="17"/>
        <v>0</v>
      </c>
      <c r="P125" s="58">
        <f>COUNTIFS('Self-Assessment_Cases'!$E$4:$E$657,"SC-1",'Self-Assessment_Cases'!$I4:$I657,"Not Implemented - Planned")</f>
        <v>0</v>
      </c>
      <c r="Q125" s="58">
        <f t="shared" si="18"/>
        <v>0</v>
      </c>
      <c r="R125" s="59">
        <f>COUNTIFS('Self-Assessment_Cases'!$E$4:$E$657,"SC-1",'Self-Assessment_Cases'!$I4:$I657,"Not Implemented - Unplanned")</f>
        <v>0</v>
      </c>
      <c r="S125" s="59">
        <f t="shared" si="19"/>
        <v>0</v>
      </c>
      <c r="T125" s="60">
        <f>COUNTIFS('Self-Assessment_Cases'!$E$4:$E$657,"SC-1",'Self-Assessment_Cases'!$I4:$I657,"Not Applicable")</f>
        <v>0</v>
      </c>
      <c r="U125" s="61"/>
      <c r="V125" s="68" t="e">
        <f t="shared" si="20"/>
        <v>#REF!</v>
      </c>
      <c r="W125" s="44" t="e">
        <f t="shared" si="21"/>
        <v>#REF!</v>
      </c>
    </row>
    <row r="126" spans="1:23" x14ac:dyDescent="0.2">
      <c r="A126" s="45" t="s">
        <v>1551</v>
      </c>
      <c r="B126" s="46" t="e">
        <f>COUNTIF('Self-Assessment_Cases'!#REF!,"*"&amp;A126&amp;"*")</f>
        <v>#REF!</v>
      </c>
      <c r="C126" s="63" t="e">
        <f t="shared" si="11"/>
        <v>#REF!</v>
      </c>
      <c r="D126" s="47">
        <f>COUNTIFS('Self-Assessment_Cases'!$E$4:$E$657,"SC-13",'Self-Assessment_Cases'!$I4:$I657,"In Progress - Administrative")</f>
        <v>0</v>
      </c>
      <c r="E126" s="64">
        <f t="shared" si="12"/>
        <v>0</v>
      </c>
      <c r="F126" s="62">
        <f>COUNTIFS('Self-Assessment_Cases'!$E$4:$E$657,"SC-13",'Self-Assessment_Cases'!$I4:$I657,"In Progress - Configuration")</f>
        <v>0</v>
      </c>
      <c r="G126" s="65">
        <f t="shared" si="13"/>
        <v>0</v>
      </c>
      <c r="H126" s="48">
        <f>COUNTIFS('Self-Assessment_Cases'!$E$4:$E$657,"SC-13",'Self-Assessment_Cases'!$I4:$I657,"In Progress - Installation/Upgrade")</f>
        <v>0</v>
      </c>
      <c r="I126" s="66">
        <f t="shared" si="14"/>
        <v>0</v>
      </c>
      <c r="J126" s="49">
        <f>COUNTIFS('Self-Assessment_Cases'!$E$4:$E$657,"SC-13",'Self-Assessment_Cases'!$I4:$I657,"Not Implemented - Compensating Control")</f>
        <v>0</v>
      </c>
      <c r="K126" s="67">
        <f t="shared" si="15"/>
        <v>0</v>
      </c>
      <c r="L126" s="50">
        <f>COUNTIFS('Self-Assessment_Cases'!$E$4:$E$657,"SC-13",'Self-Assessment_Cases'!$I4:$I657,"Not Implemented - Risk Negligible")</f>
        <v>0</v>
      </c>
      <c r="M126" s="56">
        <f t="shared" si="16"/>
        <v>0</v>
      </c>
      <c r="N126" s="57">
        <f>COUNTIFS('Self-Assessment_Cases'!$E$4:$E$657,"SC-13",'Self-Assessment_Cases'!$I4:$I657,"Not Implemented - Risk Accepted")</f>
        <v>0</v>
      </c>
      <c r="O126" s="57">
        <f t="shared" si="17"/>
        <v>0</v>
      </c>
      <c r="P126" s="58">
        <f>COUNTIFS('Self-Assessment_Cases'!$E$4:$E$657,"SC-13",'Self-Assessment_Cases'!$I4:$I657,"Not Implemented - Planned")</f>
        <v>0</v>
      </c>
      <c r="Q126" s="58">
        <f t="shared" si="18"/>
        <v>0</v>
      </c>
      <c r="R126" s="59">
        <f>COUNTIFS('Self-Assessment_Cases'!$E$4:$E$657,"SC-13",'Self-Assessment_Cases'!$I4:$I657,"Not Implemented - Unplanned")</f>
        <v>0</v>
      </c>
      <c r="S126" s="59">
        <f t="shared" si="19"/>
        <v>0</v>
      </c>
      <c r="T126" s="60">
        <f>COUNTIFS('Self-Assessment_Cases'!$E$4:$E$657,"SC-13",'Self-Assessment_Cases'!$I4:$I657,"Not Applicable")</f>
        <v>0</v>
      </c>
      <c r="U126" s="61"/>
      <c r="V126" s="68" t="e">
        <f t="shared" si="20"/>
        <v>#REF!</v>
      </c>
      <c r="W126" s="44" t="e">
        <f t="shared" si="21"/>
        <v>#REF!</v>
      </c>
    </row>
    <row r="127" spans="1:23" ht="15" customHeight="1" x14ac:dyDescent="0.2">
      <c r="A127" s="45" t="s">
        <v>1552</v>
      </c>
      <c r="B127" s="46" t="e">
        <f>COUNTIF('Self-Assessment_Cases'!#REF!,"*"&amp;A127&amp;"*")</f>
        <v>#REF!</v>
      </c>
      <c r="C127" s="63" t="e">
        <f t="shared" si="11"/>
        <v>#REF!</v>
      </c>
      <c r="D127" s="47">
        <f>COUNTIFS('Self-Assessment_Cases'!$E$4:$E$657,"SC-18",'Self-Assessment_Cases'!$I4:$I657,"In Progress - Administrative")</f>
        <v>0</v>
      </c>
      <c r="E127" s="64">
        <f t="shared" si="12"/>
        <v>0</v>
      </c>
      <c r="F127" s="62">
        <f>COUNTIFS('Self-Assessment_Cases'!$E$4:$E$657,"SC-18",'Self-Assessment_Cases'!$I4:$I657,"In Progress - Configuration")</f>
        <v>0</v>
      </c>
      <c r="G127" s="65">
        <f t="shared" si="13"/>
        <v>0</v>
      </c>
      <c r="H127" s="48">
        <f>COUNTIFS('Self-Assessment_Cases'!$E$4:$E$657,"SC-18",'Self-Assessment_Cases'!$I4:$I657,"In Progress - Installation/Upgrade")</f>
        <v>0</v>
      </c>
      <c r="I127" s="66">
        <f t="shared" si="14"/>
        <v>0</v>
      </c>
      <c r="J127" s="49">
        <f>COUNTIFS('Self-Assessment_Cases'!$E$4:$E$657,"SC-18",'Self-Assessment_Cases'!$I4:$I657,"Not Implemented - Compensating Control")</f>
        <v>0</v>
      </c>
      <c r="K127" s="67">
        <f t="shared" si="15"/>
        <v>0</v>
      </c>
      <c r="L127" s="50">
        <f>COUNTIFS('Self-Assessment_Cases'!$E$4:$E$657,"SC-18",'Self-Assessment_Cases'!$I4:$I657,"Not Implemented - Risk Negligible")</f>
        <v>0</v>
      </c>
      <c r="M127" s="56">
        <f t="shared" si="16"/>
        <v>0</v>
      </c>
      <c r="N127" s="57">
        <f>COUNTIFS('Self-Assessment_Cases'!$E$4:$E$657,"SC-18",'Self-Assessment_Cases'!$I4:$I657,"Not Implemented - Risk Accepted")</f>
        <v>0</v>
      </c>
      <c r="O127" s="57">
        <f t="shared" si="17"/>
        <v>0</v>
      </c>
      <c r="P127" s="58">
        <f>COUNTIFS('Self-Assessment_Cases'!$E$4:$E$657,"SC-18",'Self-Assessment_Cases'!$I4:$I657,"Not Implemented - Planned")</f>
        <v>0</v>
      </c>
      <c r="Q127" s="58">
        <f t="shared" si="18"/>
        <v>0</v>
      </c>
      <c r="R127" s="59">
        <f>COUNTIFS('Self-Assessment_Cases'!$E$4:$E$657,"SC-18",'Self-Assessment_Cases'!$I4:$I657,"Not Implemented - Unplanned")</f>
        <v>0</v>
      </c>
      <c r="S127" s="59">
        <f t="shared" si="19"/>
        <v>0</v>
      </c>
      <c r="T127" s="60">
        <f>COUNTIFS('Self-Assessment_Cases'!$E$4:$E$657,"SC-18",'Self-Assessment_Cases'!$I4:$I657,"Not Applicable")</f>
        <v>0</v>
      </c>
      <c r="U127" s="61"/>
      <c r="V127" s="68" t="e">
        <f t="shared" si="20"/>
        <v>#REF!</v>
      </c>
      <c r="W127" s="44" t="e">
        <f t="shared" si="21"/>
        <v>#REF!</v>
      </c>
    </row>
    <row r="128" spans="1:23" ht="15" customHeight="1" x14ac:dyDescent="0.2">
      <c r="A128" s="45" t="s">
        <v>1553</v>
      </c>
      <c r="B128" s="46" t="e">
        <f>COUNTIF('Self-Assessment_Cases'!#REF!,"*"&amp;A128&amp;"*")</f>
        <v>#REF!</v>
      </c>
      <c r="C128" s="63" t="e">
        <f t="shared" si="11"/>
        <v>#REF!</v>
      </c>
      <c r="D128" s="47">
        <f>COUNTIFS('Self-Assessment_Cases'!$E$4:$E$657,"SC-2",'Self-Assessment_Cases'!$I4:$I657,"In Progress - Administrative")</f>
        <v>0</v>
      </c>
      <c r="E128" s="64">
        <f t="shared" si="12"/>
        <v>0</v>
      </c>
      <c r="F128" s="62">
        <f>COUNTIFS('Self-Assessment_Cases'!$E$4:$E$657,"SC-2",'Self-Assessment_Cases'!$I4:$I657,"In Progress - Configuration")</f>
        <v>0</v>
      </c>
      <c r="G128" s="65">
        <f t="shared" si="13"/>
        <v>0</v>
      </c>
      <c r="H128" s="48">
        <f>COUNTIFS('Self-Assessment_Cases'!$E$4:$E$657,"SC-2",'Self-Assessment_Cases'!$I4:$I657,"In Progress - Installation/Upgrade")</f>
        <v>0</v>
      </c>
      <c r="I128" s="66">
        <f t="shared" si="14"/>
        <v>0</v>
      </c>
      <c r="J128" s="49">
        <f>COUNTIFS('Self-Assessment_Cases'!$E$4:$E$657,"SC-2",'Self-Assessment_Cases'!$I4:$I657,"Not Implemented - Compensating Control")</f>
        <v>0</v>
      </c>
      <c r="K128" s="67">
        <f t="shared" si="15"/>
        <v>0</v>
      </c>
      <c r="L128" s="50">
        <f>COUNTIFS('Self-Assessment_Cases'!$E$4:$E$657,"SC-2",'Self-Assessment_Cases'!$I4:$I657,"Not Implemented - Risk Negligible")</f>
        <v>0</v>
      </c>
      <c r="M128" s="56">
        <f t="shared" si="16"/>
        <v>0</v>
      </c>
      <c r="N128" s="57">
        <f>COUNTIFS('Self-Assessment_Cases'!$E$4:$E$657,"SC-2",'Self-Assessment_Cases'!$I4:$I657,"Not Implemented - Risk Accepted")</f>
        <v>0</v>
      </c>
      <c r="O128" s="57">
        <f t="shared" si="17"/>
        <v>0</v>
      </c>
      <c r="P128" s="58">
        <f>COUNTIFS('Self-Assessment_Cases'!$E$4:$E$657,"SC-2",'Self-Assessment_Cases'!$I4:$I657,"Not Implemented - Planned")</f>
        <v>0</v>
      </c>
      <c r="Q128" s="58">
        <f t="shared" si="18"/>
        <v>0</v>
      </c>
      <c r="R128" s="59">
        <f>COUNTIFS('Self-Assessment_Cases'!$E$4:$E$657,"SC-2",'Self-Assessment_Cases'!$I4:$I657,"Not Implemented - Unplanned")</f>
        <v>0</v>
      </c>
      <c r="S128" s="59">
        <f t="shared" si="19"/>
        <v>0</v>
      </c>
      <c r="T128" s="60">
        <f>COUNTIFS('Self-Assessment_Cases'!$E$4:$E$657,"SC-2",'Self-Assessment_Cases'!$I4:$I657,"Not Applicable")</f>
        <v>0</v>
      </c>
      <c r="U128" s="61"/>
      <c r="V128" s="68" t="e">
        <f t="shared" si="20"/>
        <v>#REF!</v>
      </c>
      <c r="W128" s="44" t="e">
        <f t="shared" si="21"/>
        <v>#REF!</v>
      </c>
    </row>
    <row r="129" spans="1:23" x14ac:dyDescent="0.2">
      <c r="A129" s="45" t="s">
        <v>1455</v>
      </c>
      <c r="B129" s="46" t="e">
        <f>COUNTIF('Self-Assessment_Cases'!#REF!,"*"&amp;A129&amp;"*")</f>
        <v>#REF!</v>
      </c>
      <c r="C129" s="63" t="e">
        <f t="shared" si="11"/>
        <v>#REF!</v>
      </c>
      <c r="D129" s="47">
        <f>COUNTIFS('Self-Assessment_Cases'!$E$4:$E$657,"SC-28",'Self-Assessment_Cases'!$I4:$I657,"In Progress - Administrative")</f>
        <v>0</v>
      </c>
      <c r="E129" s="64">
        <f t="shared" si="12"/>
        <v>0</v>
      </c>
      <c r="F129" s="62">
        <f>COUNTIFS('Self-Assessment_Cases'!$E$4:$E$657,"SC-28",'Self-Assessment_Cases'!$I4:$I657,"In Progress - Configuration")</f>
        <v>0</v>
      </c>
      <c r="G129" s="65">
        <f t="shared" si="13"/>
        <v>0</v>
      </c>
      <c r="H129" s="48">
        <f>COUNTIFS('Self-Assessment_Cases'!$E$4:$E$657,"SC-28",'Self-Assessment_Cases'!$I4:$I657,"In Progress - Installation/Upgrade")</f>
        <v>0</v>
      </c>
      <c r="I129" s="66">
        <f t="shared" si="14"/>
        <v>0</v>
      </c>
      <c r="J129" s="49">
        <f>COUNTIFS('Self-Assessment_Cases'!$E$4:$E$657,"SC-28",'Self-Assessment_Cases'!$I4:$I657,"Not Implemented - Compensating Control")</f>
        <v>0</v>
      </c>
      <c r="K129" s="67">
        <f t="shared" si="15"/>
        <v>0</v>
      </c>
      <c r="L129" s="50">
        <f>COUNTIFS('Self-Assessment_Cases'!$E$4:$E$657,"SC-28",'Self-Assessment_Cases'!$I4:$I657,"Not Implemented - Risk Negligible")</f>
        <v>0</v>
      </c>
      <c r="M129" s="56">
        <f t="shared" si="16"/>
        <v>0</v>
      </c>
      <c r="N129" s="57">
        <f>COUNTIFS('Self-Assessment_Cases'!$E$4:$E$657,"SC-28",'Self-Assessment_Cases'!$I4:$I657,"Not Implemented - Risk Accepted")</f>
        <v>0</v>
      </c>
      <c r="O129" s="57">
        <f t="shared" si="17"/>
        <v>0</v>
      </c>
      <c r="P129" s="58">
        <f>COUNTIFS('Self-Assessment_Cases'!$E$4:$E$657,"SC-28",'Self-Assessment_Cases'!$I4:$I657,"Not Implemented - Planned")</f>
        <v>0</v>
      </c>
      <c r="Q129" s="58">
        <f t="shared" si="18"/>
        <v>0</v>
      </c>
      <c r="R129" s="59">
        <f>COUNTIFS('Self-Assessment_Cases'!$E$4:$E$657,"SC-28",'Self-Assessment_Cases'!$I4:$I657,"Not Implemented - Unplanned")</f>
        <v>0</v>
      </c>
      <c r="S129" s="59">
        <f t="shared" si="19"/>
        <v>0</v>
      </c>
      <c r="T129" s="60">
        <f>COUNTIFS('Self-Assessment_Cases'!$E$4:$E$657,"SC-28",'Self-Assessment_Cases'!$I4:$I657,"Not Applicable")</f>
        <v>0</v>
      </c>
      <c r="U129" s="61"/>
      <c r="V129" s="68" t="e">
        <f t="shared" si="20"/>
        <v>#REF!</v>
      </c>
      <c r="W129" s="44" t="e">
        <f t="shared" si="21"/>
        <v>#REF!</v>
      </c>
    </row>
    <row r="130" spans="1:23" ht="15" customHeight="1" x14ac:dyDescent="0.2">
      <c r="A130" s="45" t="s">
        <v>1456</v>
      </c>
      <c r="B130" s="46" t="e">
        <f>COUNTIF('Self-Assessment_Cases'!#REF!,"*"&amp;A130&amp;"*")</f>
        <v>#REF!</v>
      </c>
      <c r="C130" s="63" t="e">
        <f t="shared" si="11"/>
        <v>#REF!</v>
      </c>
      <c r="D130" s="47">
        <f>COUNTIFS('Self-Assessment_Cases'!$E$4:$E$657,"SC-31",'Self-Assessment_Cases'!$I4:$I657,"In Progress - Administrative")</f>
        <v>0</v>
      </c>
      <c r="E130" s="64">
        <f t="shared" si="12"/>
        <v>0</v>
      </c>
      <c r="F130" s="62">
        <f>COUNTIFS('Self-Assessment_Cases'!$E$4:$E$657,"SC-31",'Self-Assessment_Cases'!$I4:$I657,"In Progress - Configuration")</f>
        <v>0</v>
      </c>
      <c r="G130" s="65">
        <f t="shared" si="13"/>
        <v>0</v>
      </c>
      <c r="H130" s="48">
        <f>COUNTIFS('Self-Assessment_Cases'!$E$4:$E$657,"SC-31",'Self-Assessment_Cases'!$I4:$I657,"In Progress - Installation/Upgrade")</f>
        <v>0</v>
      </c>
      <c r="I130" s="66">
        <f t="shared" si="14"/>
        <v>0</v>
      </c>
      <c r="J130" s="49">
        <f>COUNTIFS('Self-Assessment_Cases'!$E$4:$E$657,"SC-31",'Self-Assessment_Cases'!$I4:$I657,"Not Implemented - Compensating Control")</f>
        <v>0</v>
      </c>
      <c r="K130" s="67">
        <f t="shared" si="15"/>
        <v>0</v>
      </c>
      <c r="L130" s="50">
        <f>COUNTIFS('Self-Assessment_Cases'!$E$4:$E$657,"SC-31",'Self-Assessment_Cases'!$I4:$I657,"Not Implemented - Risk Negligible")</f>
        <v>0</v>
      </c>
      <c r="M130" s="56">
        <f t="shared" si="16"/>
        <v>0</v>
      </c>
      <c r="N130" s="57">
        <f>COUNTIFS('Self-Assessment_Cases'!$E$4:$E$657,"SC-31",'Self-Assessment_Cases'!$I4:$I657,"Not Implemented - Risk Accepted")</f>
        <v>0</v>
      </c>
      <c r="O130" s="57">
        <f t="shared" si="17"/>
        <v>0</v>
      </c>
      <c r="P130" s="58">
        <f>COUNTIFS('Self-Assessment_Cases'!$E$4:$E$657,"SC-31",'Self-Assessment_Cases'!$I4:$I657,"Not Implemented - Planned")</f>
        <v>0</v>
      </c>
      <c r="Q130" s="58">
        <f t="shared" si="18"/>
        <v>0</v>
      </c>
      <c r="R130" s="59">
        <f>COUNTIFS('Self-Assessment_Cases'!$E$4:$E$657,"SC-31",'Self-Assessment_Cases'!$I4:$I657,"Not Implemented - Unplanned")</f>
        <v>0</v>
      </c>
      <c r="S130" s="59">
        <f t="shared" si="19"/>
        <v>0</v>
      </c>
      <c r="T130" s="60">
        <f>COUNTIFS('Self-Assessment_Cases'!$E$4:$E$657,"SC-31",'Self-Assessment_Cases'!$I4:$I657,"Not Applicable")</f>
        <v>0</v>
      </c>
      <c r="U130" s="61"/>
      <c r="V130" s="68" t="e">
        <f t="shared" si="20"/>
        <v>#REF!</v>
      </c>
      <c r="W130" s="44" t="e">
        <f t="shared" si="21"/>
        <v>#REF!</v>
      </c>
    </row>
    <row r="131" spans="1:23" ht="15" customHeight="1" x14ac:dyDescent="0.2">
      <c r="A131" s="45" t="s">
        <v>1554</v>
      </c>
      <c r="B131" s="46" t="e">
        <f>COUNTIF('Self-Assessment_Cases'!#REF!,"*"&amp;A131&amp;"*")</f>
        <v>#REF!</v>
      </c>
      <c r="C131" s="63" t="e">
        <f t="shared" ref="C131:C139" si="22">B131*5</f>
        <v>#REF!</v>
      </c>
      <c r="D131" s="47">
        <f>COUNTIFS('Self-Assessment_Cases'!$E$4:$E$657,"SC-5",'Self-Assessment_Cases'!$I4:$I657,"In Progress - Administrative")</f>
        <v>0</v>
      </c>
      <c r="E131" s="64">
        <f t="shared" ref="E131:E139" si="23">D131*3</f>
        <v>0</v>
      </c>
      <c r="F131" s="62">
        <f>COUNTIFS('Self-Assessment_Cases'!$E$4:$E$657,"SC-5",'Self-Assessment_Cases'!$I4:$I657,"In Progress - Configuration")</f>
        <v>0</v>
      </c>
      <c r="G131" s="65">
        <f t="shared" ref="G131:G139" si="24">F131*3</f>
        <v>0</v>
      </c>
      <c r="H131" s="48">
        <f>COUNTIFS('Self-Assessment_Cases'!$E$4:$E$657,"SC-5",'Self-Assessment_Cases'!$I4:$I657,"In Progress - Installation/Upgrade")</f>
        <v>0</v>
      </c>
      <c r="I131" s="66">
        <f t="shared" ref="I131:I139" si="25">H131*3</f>
        <v>0</v>
      </c>
      <c r="J131" s="49">
        <f>COUNTIFS('Self-Assessment_Cases'!$E$4:$E$657,"SC-5",'Self-Assessment_Cases'!$I4:$I657,"Not Implemented - Compensating Control")</f>
        <v>0</v>
      </c>
      <c r="K131" s="67">
        <f t="shared" ref="K131:K139" si="26">J131*5</f>
        <v>0</v>
      </c>
      <c r="L131" s="50">
        <f>COUNTIFS('Self-Assessment_Cases'!$E$4:$E$657,"SC-5",'Self-Assessment_Cases'!$I4:$I657,"Not Implemented - Risk Negligible")</f>
        <v>0</v>
      </c>
      <c r="M131" s="56">
        <f t="shared" ref="M131:M139" si="27">L131*5</f>
        <v>0</v>
      </c>
      <c r="N131" s="57">
        <f>COUNTIFS('Self-Assessment_Cases'!$E$4:$E$657,"SC-5",'Self-Assessment_Cases'!$I4:$I657,"Not Implemented - Risk Accepted")</f>
        <v>0</v>
      </c>
      <c r="O131" s="57">
        <f t="shared" ref="O131:O139" si="28">N131</f>
        <v>0</v>
      </c>
      <c r="P131" s="58">
        <f>COUNTIFS('Self-Assessment_Cases'!$E$4:$E$657,"SC-5",'Self-Assessment_Cases'!$I4:$I657,"Not Implemented - Planned")</f>
        <v>0</v>
      </c>
      <c r="Q131" s="58">
        <f t="shared" ref="Q131:Q139" si="29">P131</f>
        <v>0</v>
      </c>
      <c r="R131" s="59">
        <f>COUNTIFS('Self-Assessment_Cases'!$E$4:$E$657,"SC-5",'Self-Assessment_Cases'!$I4:$I657,"Not Implemented - Unplanned")</f>
        <v>0</v>
      </c>
      <c r="S131" s="59">
        <f t="shared" ref="S131:S139" si="30">R131</f>
        <v>0</v>
      </c>
      <c r="T131" s="60">
        <f>COUNTIFS('Self-Assessment_Cases'!$E$4:$E$657,"SC-5",'Self-Assessment_Cases'!$I4:$I657,"Not Applicable")</f>
        <v>0</v>
      </c>
      <c r="U131" s="61"/>
      <c r="V131" s="68" t="e">
        <f t="shared" ref="V131:V139" si="31">(C131+E131+G131+I131+K131+M131+O131+Q131+S131)/W131</f>
        <v>#REF!</v>
      </c>
      <c r="W131" s="44" t="e">
        <f t="shared" ref="W131:W139" si="32">(B131+D131+F131+H131+J131+L131+N131+P131+R131)*5</f>
        <v>#REF!</v>
      </c>
    </row>
    <row r="132" spans="1:23" x14ac:dyDescent="0.2">
      <c r="A132" s="45" t="s">
        <v>1555</v>
      </c>
      <c r="B132" s="46" t="e">
        <f>COUNTIF('Self-Assessment_Cases'!#REF!,"*"&amp;A132&amp;"*")</f>
        <v>#REF!</v>
      </c>
      <c r="C132" s="63" t="e">
        <f t="shared" si="22"/>
        <v>#REF!</v>
      </c>
      <c r="D132" s="47">
        <f>COUNTIFS('Self-Assessment_Cases'!$E$4:$E$657,"SC-7",'Self-Assessment_Cases'!$I4:$I657,"In Progress - Administrative")</f>
        <v>0</v>
      </c>
      <c r="E132" s="64">
        <f t="shared" si="23"/>
        <v>0</v>
      </c>
      <c r="F132" s="62">
        <f>COUNTIFS('Self-Assessment_Cases'!$E$4:$E$657,"SC-7",'Self-Assessment_Cases'!$I4:$I657,"In Progress - Configuration")</f>
        <v>0</v>
      </c>
      <c r="G132" s="65">
        <f t="shared" si="24"/>
        <v>0</v>
      </c>
      <c r="H132" s="48">
        <f>COUNTIFS('Self-Assessment_Cases'!$E$4:$E$657,"SC-7",'Self-Assessment_Cases'!$I4:$I657,"In Progress - Installation/Upgrade")</f>
        <v>0</v>
      </c>
      <c r="I132" s="66">
        <f t="shared" si="25"/>
        <v>0</v>
      </c>
      <c r="J132" s="49">
        <f>COUNTIFS('Self-Assessment_Cases'!$E$4:$E$657,"SC-7",'Self-Assessment_Cases'!$I4:$I657,"Not Implemented - Compensating Control")</f>
        <v>0</v>
      </c>
      <c r="K132" s="67">
        <f t="shared" si="26"/>
        <v>0</v>
      </c>
      <c r="L132" s="50">
        <f>COUNTIFS('Self-Assessment_Cases'!$E$4:$E$657,"SC-7",'Self-Assessment_Cases'!$I4:$I657,"Not Implemented - Risk Negligible")</f>
        <v>0</v>
      </c>
      <c r="M132" s="56">
        <f t="shared" si="27"/>
        <v>0</v>
      </c>
      <c r="N132" s="57">
        <f>COUNTIFS('Self-Assessment_Cases'!$E$4:$E$657,"SC-7",'Self-Assessment_Cases'!$I4:$I657,"Not Implemented - Risk Accepted")</f>
        <v>0</v>
      </c>
      <c r="O132" s="57">
        <f t="shared" si="28"/>
        <v>0</v>
      </c>
      <c r="P132" s="58">
        <f>COUNTIFS('Self-Assessment_Cases'!$E$4:$E$657,"SC-7",'Self-Assessment_Cases'!$I4:$I657,"Not Implemented - Planned")</f>
        <v>0</v>
      </c>
      <c r="Q132" s="58">
        <f t="shared" si="29"/>
        <v>0</v>
      </c>
      <c r="R132" s="59">
        <f>COUNTIFS('Self-Assessment_Cases'!$E$4:$E$657,"SC-7",'Self-Assessment_Cases'!$I4:$I657,"Not Implemented - Unplanned")</f>
        <v>0</v>
      </c>
      <c r="S132" s="59">
        <f t="shared" si="30"/>
        <v>0</v>
      </c>
      <c r="T132" s="60">
        <f>COUNTIFS('Self-Assessment_Cases'!$E$4:$E$657,"SC-7",'Self-Assessment_Cases'!$I4:$I657,"Not Applicable")</f>
        <v>0</v>
      </c>
      <c r="U132" s="61"/>
      <c r="V132" s="68" t="e">
        <f t="shared" si="31"/>
        <v>#REF!</v>
      </c>
      <c r="W132" s="44" t="e">
        <f t="shared" si="32"/>
        <v>#REF!</v>
      </c>
    </row>
    <row r="133" spans="1:23" x14ac:dyDescent="0.2">
      <c r="A133" s="45" t="s">
        <v>1556</v>
      </c>
      <c r="B133" s="46" t="e">
        <f>COUNTIF('Self-Assessment_Cases'!#REF!,"*"&amp;A133&amp;"*")</f>
        <v>#REF!</v>
      </c>
      <c r="C133" s="63" t="e">
        <f t="shared" si="22"/>
        <v>#REF!</v>
      </c>
      <c r="D133" s="47">
        <f>COUNTIFS('Self-Assessment_Cases'!$E$4:$E$657,"SC-8",'Self-Assessment_Cases'!$I4:$I657,"In Progress - Administrative")</f>
        <v>0</v>
      </c>
      <c r="E133" s="64">
        <f t="shared" si="23"/>
        <v>0</v>
      </c>
      <c r="F133" s="62">
        <f>COUNTIFS('Self-Assessment_Cases'!$E$4:$E$657,"SC-8",'Self-Assessment_Cases'!$I4:$I657,"In Progress - Configuration")</f>
        <v>0</v>
      </c>
      <c r="G133" s="65">
        <f t="shared" si="24"/>
        <v>0</v>
      </c>
      <c r="H133" s="48">
        <f>COUNTIFS('Self-Assessment_Cases'!$E$4:$E$657,"SC-8",'Self-Assessment_Cases'!$I4:$I657,"In Progress - Installation/Upgrade")</f>
        <v>0</v>
      </c>
      <c r="I133" s="66">
        <f t="shared" si="25"/>
        <v>0</v>
      </c>
      <c r="J133" s="49">
        <f>COUNTIFS('Self-Assessment_Cases'!$E$4:$E$657,"SC-8",'Self-Assessment_Cases'!$I4:$I657,"Not Implemented - Compensating Control")</f>
        <v>0</v>
      </c>
      <c r="K133" s="67">
        <f t="shared" si="26"/>
        <v>0</v>
      </c>
      <c r="L133" s="50">
        <f>COUNTIFS('Self-Assessment_Cases'!$E$4:$E$657,"SC-8",'Self-Assessment_Cases'!$I4:$I657,"Not Implemented - Risk Negligible")</f>
        <v>0</v>
      </c>
      <c r="M133" s="56">
        <f t="shared" si="27"/>
        <v>0</v>
      </c>
      <c r="N133" s="57">
        <f>COUNTIFS('Self-Assessment_Cases'!$E$4:$E$657,"SC-8",'Self-Assessment_Cases'!$I4:$I657,"Not Implemented - Risk Accepted")</f>
        <v>0</v>
      </c>
      <c r="O133" s="57">
        <f t="shared" si="28"/>
        <v>0</v>
      </c>
      <c r="P133" s="58">
        <f>COUNTIFS('Self-Assessment_Cases'!$E$4:$E$657,"SC-8",'Self-Assessment_Cases'!$I4:$I657,"Not Implemented - Planned")</f>
        <v>0</v>
      </c>
      <c r="Q133" s="58">
        <f t="shared" si="29"/>
        <v>0</v>
      </c>
      <c r="R133" s="59">
        <f>COUNTIFS('Self-Assessment_Cases'!$E$4:$E$657,"SC-8",'Self-Assessment_Cases'!$I4:$I657,"Not Implemented - Unplanned")</f>
        <v>0</v>
      </c>
      <c r="S133" s="59">
        <f t="shared" si="30"/>
        <v>0</v>
      </c>
      <c r="T133" s="60">
        <f>COUNTIFS('Self-Assessment_Cases'!$E$4:$E$657,"SC-8",'Self-Assessment_Cases'!$I4:$I657,"Not Applicable")</f>
        <v>0</v>
      </c>
      <c r="U133" s="61"/>
      <c r="V133" s="68" t="e">
        <f t="shared" si="31"/>
        <v>#REF!</v>
      </c>
      <c r="W133" s="44" t="e">
        <f t="shared" si="32"/>
        <v>#REF!</v>
      </c>
    </row>
    <row r="134" spans="1:23" x14ac:dyDescent="0.2">
      <c r="A134" s="45" t="s">
        <v>1557</v>
      </c>
      <c r="B134" s="46" t="e">
        <f>COUNTIF('Self-Assessment_Cases'!#REF!,"*"&amp;A134&amp;"*")</f>
        <v>#REF!</v>
      </c>
      <c r="C134" s="63" t="e">
        <f t="shared" si="22"/>
        <v>#REF!</v>
      </c>
      <c r="D134" s="47">
        <f>COUNTIFS('Self-Assessment_Cases'!$E$4:$E$657,"SI-1",'Self-Assessment_Cases'!$I4:$I657,"In Progress - Administrative")</f>
        <v>0</v>
      </c>
      <c r="E134" s="64">
        <f t="shared" si="23"/>
        <v>0</v>
      </c>
      <c r="F134" s="62">
        <f>COUNTIFS('Self-Assessment_Cases'!$E$4:$E$657,"SI-1",'Self-Assessment_Cases'!$I4:$I657,"In Progress - Configuration")</f>
        <v>0</v>
      </c>
      <c r="G134" s="65">
        <f t="shared" si="24"/>
        <v>0</v>
      </c>
      <c r="H134" s="48">
        <f>COUNTIFS('Self-Assessment_Cases'!$E$4:$E$657,"SI-1",'Self-Assessment_Cases'!$I4:$I657,"In Progress - Installation/Upgrade")</f>
        <v>0</v>
      </c>
      <c r="I134" s="66">
        <f t="shared" si="25"/>
        <v>0</v>
      </c>
      <c r="J134" s="49">
        <f>COUNTIFS('Self-Assessment_Cases'!$E$4:$E$657,"SI-1",'Self-Assessment_Cases'!$I4:$I657,"Not Implemented - Compensating Control")</f>
        <v>0</v>
      </c>
      <c r="K134" s="67">
        <f t="shared" si="26"/>
        <v>0</v>
      </c>
      <c r="L134" s="50">
        <f>COUNTIFS('Self-Assessment_Cases'!$E$4:$E$657,"SI-1",'Self-Assessment_Cases'!$I4:$I657,"Not Implemented - Risk Negligible")</f>
        <v>0</v>
      </c>
      <c r="M134" s="56">
        <f t="shared" si="27"/>
        <v>0</v>
      </c>
      <c r="N134" s="57">
        <f>COUNTIFS('Self-Assessment_Cases'!$E$4:$E$657,"SI-1",'Self-Assessment_Cases'!$I4:$I657,"Not Implemented - Risk Accepted")</f>
        <v>0</v>
      </c>
      <c r="O134" s="57">
        <f t="shared" si="28"/>
        <v>0</v>
      </c>
      <c r="P134" s="58">
        <f>COUNTIFS('Self-Assessment_Cases'!$E$4:$E$657,"SI-1",'Self-Assessment_Cases'!$I4:$I657,"Not Implemented - Planned")</f>
        <v>0</v>
      </c>
      <c r="Q134" s="58">
        <f t="shared" si="29"/>
        <v>0</v>
      </c>
      <c r="R134" s="59">
        <f>COUNTIFS('Self-Assessment_Cases'!$E$4:$E$657,"SI-1",'Self-Assessment_Cases'!$I4:$I657,"Not Implemented - Unplanned")</f>
        <v>0</v>
      </c>
      <c r="S134" s="59">
        <f t="shared" si="30"/>
        <v>0</v>
      </c>
      <c r="T134" s="60">
        <f>COUNTIFS('Self-Assessment_Cases'!$E$4:$E$657,"SI-1",'Self-Assessment_Cases'!$I4:$I657,"Not Applicable")</f>
        <v>0</v>
      </c>
      <c r="U134" s="61"/>
      <c r="V134" s="68" t="e">
        <f t="shared" si="31"/>
        <v>#REF!</v>
      </c>
      <c r="W134" s="44" t="e">
        <f t="shared" si="32"/>
        <v>#REF!</v>
      </c>
    </row>
    <row r="135" spans="1:23" x14ac:dyDescent="0.2">
      <c r="A135" s="45" t="s">
        <v>1558</v>
      </c>
      <c r="B135" s="46" t="e">
        <f>COUNTIF('Self-Assessment_Cases'!#REF!,"*"&amp;A135&amp;"*")</f>
        <v>#REF!</v>
      </c>
      <c r="C135" s="63" t="e">
        <f t="shared" si="22"/>
        <v>#REF!</v>
      </c>
      <c r="D135" s="47">
        <f>COUNTIFS('Self-Assessment_Cases'!$E$4:$E$657,"SI-2",'Self-Assessment_Cases'!$I4:$I657,"In Progress - Administrative")</f>
        <v>0</v>
      </c>
      <c r="E135" s="64">
        <f t="shared" si="23"/>
        <v>0</v>
      </c>
      <c r="F135" s="62">
        <f>COUNTIFS('Self-Assessment_Cases'!$E$4:$E$657,"SI-2",'Self-Assessment_Cases'!$I4:$I657,"In Progress - Configuration")</f>
        <v>0</v>
      </c>
      <c r="G135" s="65">
        <f t="shared" si="24"/>
        <v>0</v>
      </c>
      <c r="H135" s="48">
        <f>COUNTIFS('Self-Assessment_Cases'!$E$4:$E$657,"SI-2",'Self-Assessment_Cases'!$I4:$I657,"In Progress - Installation/Upgrade")</f>
        <v>0</v>
      </c>
      <c r="I135" s="66">
        <f t="shared" si="25"/>
        <v>0</v>
      </c>
      <c r="J135" s="49">
        <f>COUNTIFS('Self-Assessment_Cases'!$E$4:$E$657,"SI-2",'Self-Assessment_Cases'!$I4:$I657,"Not Implemented - Compensating Control")</f>
        <v>0</v>
      </c>
      <c r="K135" s="67">
        <f t="shared" si="26"/>
        <v>0</v>
      </c>
      <c r="L135" s="50">
        <f>COUNTIFS('Self-Assessment_Cases'!$E$4:$E$657,"SI-2",'Self-Assessment_Cases'!$I4:$I657,"Not Implemented - Risk Negligible")</f>
        <v>0</v>
      </c>
      <c r="M135" s="56">
        <f t="shared" si="27"/>
        <v>0</v>
      </c>
      <c r="N135" s="57">
        <f>COUNTIFS('Self-Assessment_Cases'!$E$4:$E$657,"SI-2",'Self-Assessment_Cases'!$I4:$I657,"Not Implemented - Risk Accepted")</f>
        <v>0</v>
      </c>
      <c r="O135" s="57">
        <f t="shared" si="28"/>
        <v>0</v>
      </c>
      <c r="P135" s="58">
        <f>COUNTIFS('Self-Assessment_Cases'!$E$4:$E$657,"SI-2",'Self-Assessment_Cases'!$I4:$I657,"Not Implemented - Planned")</f>
        <v>0</v>
      </c>
      <c r="Q135" s="58">
        <f t="shared" si="29"/>
        <v>0</v>
      </c>
      <c r="R135" s="59">
        <f>COUNTIFS('Self-Assessment_Cases'!$E$4:$E$657,"SI-2",'Self-Assessment_Cases'!$I4:$I657,"Not Implemented - Unplanned")</f>
        <v>0</v>
      </c>
      <c r="S135" s="59">
        <f t="shared" si="30"/>
        <v>0</v>
      </c>
      <c r="T135" s="60">
        <f>COUNTIFS('Self-Assessment_Cases'!$E$4:$E$657,"SI-2",'Self-Assessment_Cases'!$I4:$I657,"Not Applicable")</f>
        <v>0</v>
      </c>
      <c r="U135" s="61"/>
      <c r="V135" s="68" t="e">
        <f t="shared" si="31"/>
        <v>#REF!</v>
      </c>
      <c r="W135" s="44" t="e">
        <f t="shared" si="32"/>
        <v>#REF!</v>
      </c>
    </row>
    <row r="136" spans="1:23" x14ac:dyDescent="0.2">
      <c r="A136" s="45" t="s">
        <v>1559</v>
      </c>
      <c r="B136" s="46" t="e">
        <f>COUNTIF('Self-Assessment_Cases'!#REF!,"*"&amp;A136&amp;"*")</f>
        <v>#REF!</v>
      </c>
      <c r="C136" s="63" t="e">
        <f t="shared" si="22"/>
        <v>#REF!</v>
      </c>
      <c r="D136" s="47">
        <f>COUNTIFS('Self-Assessment_Cases'!$E$4:$E$657,"SI-3",'Self-Assessment_Cases'!$I4:$I657,"In Progress - Administrative")</f>
        <v>0</v>
      </c>
      <c r="E136" s="64">
        <f t="shared" si="23"/>
        <v>0</v>
      </c>
      <c r="F136" s="62">
        <f>COUNTIFS('Self-Assessment_Cases'!$E$4:$E$657,"SI-3",'Self-Assessment_Cases'!$I4:$I657,"In Progress - Configuration")</f>
        <v>0</v>
      </c>
      <c r="G136" s="65">
        <f t="shared" si="24"/>
        <v>0</v>
      </c>
      <c r="H136" s="48">
        <f>COUNTIFS('Self-Assessment_Cases'!$E$4:$E$657,"SI-3",'Self-Assessment_Cases'!$I4:$I657,"In Progress - Installation/Upgrade")</f>
        <v>0</v>
      </c>
      <c r="I136" s="66">
        <f t="shared" si="25"/>
        <v>0</v>
      </c>
      <c r="J136" s="49">
        <f>COUNTIFS('Self-Assessment_Cases'!$E$4:$E$657,"SI-3",'Self-Assessment_Cases'!$I4:$I657,"Not Implemented - Compensating Control")</f>
        <v>0</v>
      </c>
      <c r="K136" s="67">
        <f t="shared" si="26"/>
        <v>0</v>
      </c>
      <c r="L136" s="50">
        <f>COUNTIFS('Self-Assessment_Cases'!$E$4:$E$657,"SI-3",'Self-Assessment_Cases'!$I4:$I657,"Not Implemented - Risk Negligible")</f>
        <v>0</v>
      </c>
      <c r="M136" s="56">
        <f t="shared" si="27"/>
        <v>0</v>
      </c>
      <c r="N136" s="57">
        <f>COUNTIFS('Self-Assessment_Cases'!$E$4:$E$657,"SI-3",'Self-Assessment_Cases'!$I4:$I657,"Not Implemented - Risk Accepted")</f>
        <v>0</v>
      </c>
      <c r="O136" s="57">
        <f t="shared" si="28"/>
        <v>0</v>
      </c>
      <c r="P136" s="58">
        <f>COUNTIFS('Self-Assessment_Cases'!$E$4:$E$657,"SI-3",'Self-Assessment_Cases'!$I4:$I657,"Not Implemented - Planned")</f>
        <v>0</v>
      </c>
      <c r="Q136" s="58">
        <f t="shared" si="29"/>
        <v>0</v>
      </c>
      <c r="R136" s="59">
        <f>COUNTIFS('Self-Assessment_Cases'!$E$4:$E$657,"SI-3",'Self-Assessment_Cases'!$I4:$I657,"Not Implemented - Unplanned")</f>
        <v>0</v>
      </c>
      <c r="S136" s="59">
        <f t="shared" si="30"/>
        <v>0</v>
      </c>
      <c r="T136" s="60">
        <f>COUNTIFS('Self-Assessment_Cases'!$E$4:$E$657,"SI-3",'Self-Assessment_Cases'!$I4:$I657,"Not Applicable")</f>
        <v>0</v>
      </c>
      <c r="U136" s="61"/>
      <c r="V136" s="68" t="e">
        <f t="shared" si="31"/>
        <v>#REF!</v>
      </c>
      <c r="W136" s="44" t="e">
        <f t="shared" si="32"/>
        <v>#REF!</v>
      </c>
    </row>
    <row r="137" spans="1:23" x14ac:dyDescent="0.2">
      <c r="A137" s="45" t="s">
        <v>1560</v>
      </c>
      <c r="B137" s="46" t="e">
        <f>COUNTIF('Self-Assessment_Cases'!#REF!,"*"&amp;A137&amp;"*")</f>
        <v>#REF!</v>
      </c>
      <c r="C137" s="63" t="e">
        <f t="shared" si="22"/>
        <v>#REF!</v>
      </c>
      <c r="D137" s="47">
        <f>COUNTIFS('Self-Assessment_Cases'!$E$4:$E$657,"SI-4",'Self-Assessment_Cases'!$I4:$I657,"In Progress - Administrative")</f>
        <v>0</v>
      </c>
      <c r="E137" s="64">
        <f t="shared" si="23"/>
        <v>0</v>
      </c>
      <c r="F137" s="62">
        <f>COUNTIFS('Self-Assessment_Cases'!$E$4:$E$657,"SI-4",'Self-Assessment_Cases'!$I4:$I657,"In Progress - Configuration")</f>
        <v>0</v>
      </c>
      <c r="G137" s="65">
        <f t="shared" si="24"/>
        <v>0</v>
      </c>
      <c r="H137" s="48">
        <f>COUNTIFS('Self-Assessment_Cases'!$E$4:$E$657,"SI-4",'Self-Assessment_Cases'!$I4:$I657,"In Progress - Installation/Upgrade")</f>
        <v>0</v>
      </c>
      <c r="I137" s="66">
        <f t="shared" si="25"/>
        <v>0</v>
      </c>
      <c r="J137" s="49">
        <f>COUNTIFS('Self-Assessment_Cases'!$E$4:$E$657,"SI-4",'Self-Assessment_Cases'!$I4:$I657,"Not Implemented - Compensating Control")</f>
        <v>0</v>
      </c>
      <c r="K137" s="67">
        <f t="shared" si="26"/>
        <v>0</v>
      </c>
      <c r="L137" s="50">
        <f>COUNTIFS('Self-Assessment_Cases'!$E$4:$E$657,"SI-4",'Self-Assessment_Cases'!$I4:$I657,"Not Implemented - Risk Negligible")</f>
        <v>0</v>
      </c>
      <c r="M137" s="56">
        <f t="shared" si="27"/>
        <v>0</v>
      </c>
      <c r="N137" s="57">
        <f>COUNTIFS('Self-Assessment_Cases'!$E$4:$E$657,"SI-4",'Self-Assessment_Cases'!$I4:$I657,"Not Implemented - Risk Accepted")</f>
        <v>0</v>
      </c>
      <c r="O137" s="57">
        <f t="shared" si="28"/>
        <v>0</v>
      </c>
      <c r="P137" s="58">
        <f>COUNTIFS('Self-Assessment_Cases'!$E$4:$E$657,"SI-4",'Self-Assessment_Cases'!$I4:$I657,"Not Implemented - Planned")</f>
        <v>0</v>
      </c>
      <c r="Q137" s="58">
        <f t="shared" si="29"/>
        <v>0</v>
      </c>
      <c r="R137" s="59">
        <f>COUNTIFS('Self-Assessment_Cases'!$E$4:$E$657,"SI-4",'Self-Assessment_Cases'!$I4:$I657,"Not Implemented - Unplanned")</f>
        <v>0</v>
      </c>
      <c r="S137" s="59">
        <f t="shared" si="30"/>
        <v>0</v>
      </c>
      <c r="T137" s="60">
        <f>COUNTIFS('Self-Assessment_Cases'!$E$4:$E$657,"SI-4",'Self-Assessment_Cases'!$I4:$I657,"Not Applicable")</f>
        <v>0</v>
      </c>
      <c r="U137" s="61"/>
      <c r="V137" s="68" t="e">
        <f t="shared" si="31"/>
        <v>#REF!</v>
      </c>
      <c r="W137" s="44" t="e">
        <f t="shared" si="32"/>
        <v>#REF!</v>
      </c>
    </row>
    <row r="138" spans="1:23" x14ac:dyDescent="0.2">
      <c r="A138" s="45" t="s">
        <v>1561</v>
      </c>
      <c r="B138" s="46" t="e">
        <f>COUNTIF('Self-Assessment_Cases'!#REF!,"*"&amp;A138&amp;"*")</f>
        <v>#REF!</v>
      </c>
      <c r="C138" s="63" t="e">
        <f t="shared" si="22"/>
        <v>#REF!</v>
      </c>
      <c r="D138" s="47">
        <f>COUNTIFS('Self-Assessment_Cases'!$E$4:$E$657,"SI-5",'Self-Assessment_Cases'!$I4:$I657,"In Progress - Administrative")</f>
        <v>0</v>
      </c>
      <c r="E138" s="64">
        <f t="shared" si="23"/>
        <v>0</v>
      </c>
      <c r="F138" s="62">
        <f>COUNTIFS('Self-Assessment_Cases'!$E$4:$E$657,"SI-5",'Self-Assessment_Cases'!$I4:$I657,"In Progress - Configuration")</f>
        <v>0</v>
      </c>
      <c r="G138" s="65">
        <f t="shared" si="24"/>
        <v>0</v>
      </c>
      <c r="H138" s="48">
        <f>COUNTIFS('Self-Assessment_Cases'!$E$4:$E$657,"SI-5",'Self-Assessment_Cases'!$I4:$I657,"In Progress - Installation/Upgrade")</f>
        <v>0</v>
      </c>
      <c r="I138" s="66">
        <f t="shared" si="25"/>
        <v>0</v>
      </c>
      <c r="J138" s="49">
        <f>COUNTIFS('Self-Assessment_Cases'!$E$4:$E$657,"SI-5",'Self-Assessment_Cases'!$I4:$I657,"Not Implemented - Compensating Control")</f>
        <v>0</v>
      </c>
      <c r="K138" s="67">
        <f t="shared" si="26"/>
        <v>0</v>
      </c>
      <c r="L138" s="50">
        <f>COUNTIFS('Self-Assessment_Cases'!$E$4:$E$657,"SI-5",'Self-Assessment_Cases'!$I4:$I657,"Not Implemented - Risk Negligible")</f>
        <v>0</v>
      </c>
      <c r="M138" s="56">
        <f t="shared" si="27"/>
        <v>0</v>
      </c>
      <c r="N138" s="57">
        <f>COUNTIFS('Self-Assessment_Cases'!$E$4:$E$657,"SI-5",'Self-Assessment_Cases'!$I4:$I657,"Not Implemented - Risk Accepted")</f>
        <v>0</v>
      </c>
      <c r="O138" s="57">
        <f t="shared" si="28"/>
        <v>0</v>
      </c>
      <c r="P138" s="58">
        <f>COUNTIFS('Self-Assessment_Cases'!$E$4:$E$657,"SI-5",'Self-Assessment_Cases'!$I4:$I657,"Not Implemented - Planned")</f>
        <v>0</v>
      </c>
      <c r="Q138" s="58">
        <f t="shared" si="29"/>
        <v>0</v>
      </c>
      <c r="R138" s="59">
        <f>COUNTIFS('Self-Assessment_Cases'!$E$4:$E$657,"SI-5",'Self-Assessment_Cases'!$I4:$I657,"Not Implemented - Unplanned")</f>
        <v>0</v>
      </c>
      <c r="S138" s="59">
        <f t="shared" si="30"/>
        <v>0</v>
      </c>
      <c r="T138" s="60">
        <f>COUNTIFS('Self-Assessment_Cases'!$E$4:$E$657,"SI-5",'Self-Assessment_Cases'!$I4:$I657,"Not Applicable")</f>
        <v>0</v>
      </c>
      <c r="U138" s="61"/>
      <c r="V138" s="68" t="e">
        <f t="shared" si="31"/>
        <v>#REF!</v>
      </c>
      <c r="W138" s="44" t="e">
        <f t="shared" si="32"/>
        <v>#REF!</v>
      </c>
    </row>
    <row r="139" spans="1:23" ht="15" customHeight="1" x14ac:dyDescent="0.2">
      <c r="A139" s="45" t="s">
        <v>1562</v>
      </c>
      <c r="B139" s="46" t="e">
        <f>COUNTIF('Self-Assessment_Cases'!#REF!,"*"&amp;A139&amp;"*")</f>
        <v>#REF!</v>
      </c>
      <c r="C139" s="63" t="e">
        <f t="shared" si="22"/>
        <v>#REF!</v>
      </c>
      <c r="D139" s="47">
        <f>COUNTIFS('Self-Assessment_Cases'!$E$4:$E$657,"SI-7",'Self-Assessment_Cases'!$I4:$I657,"In Progress - Administrative")</f>
        <v>0</v>
      </c>
      <c r="E139" s="64">
        <f t="shared" si="23"/>
        <v>0</v>
      </c>
      <c r="F139" s="62">
        <f>COUNTIFS('Self-Assessment_Cases'!$E$4:$E$657,"SI-7",'Self-Assessment_Cases'!$I4:$I657,"In Progress - Configuration")</f>
        <v>0</v>
      </c>
      <c r="G139" s="65">
        <f t="shared" si="24"/>
        <v>0</v>
      </c>
      <c r="H139" s="48">
        <f>COUNTIFS('Self-Assessment_Cases'!$E$4:$E$657,"SI-7",'Self-Assessment_Cases'!$I4:$I657,"In Progress - Installation/Upgrade")</f>
        <v>0</v>
      </c>
      <c r="I139" s="66">
        <f t="shared" si="25"/>
        <v>0</v>
      </c>
      <c r="J139" s="49">
        <f>COUNTIFS('Self-Assessment_Cases'!$E$4:$E$657,"SI-7",'Self-Assessment_Cases'!$I4:$I657,"Not Implemented - Compensating Control")</f>
        <v>0</v>
      </c>
      <c r="K139" s="67">
        <f t="shared" si="26"/>
        <v>0</v>
      </c>
      <c r="L139" s="50">
        <f>COUNTIFS('Self-Assessment_Cases'!$E$4:$E$657,"SI-7",'Self-Assessment_Cases'!$I4:$I657,"Not Implemented - Risk Negligible")</f>
        <v>0</v>
      </c>
      <c r="M139" s="56">
        <f t="shared" si="27"/>
        <v>0</v>
      </c>
      <c r="N139" s="57">
        <f>COUNTIFS('Self-Assessment_Cases'!$E$4:$E$657,"SI-7",'Self-Assessment_Cases'!$I4:$I657,"Not Implemented - Risk Accepted")</f>
        <v>0</v>
      </c>
      <c r="O139" s="57">
        <f t="shared" si="28"/>
        <v>0</v>
      </c>
      <c r="P139" s="58">
        <f>COUNTIFS('Self-Assessment_Cases'!$E$4:$E$657,"SI-7",'Self-Assessment_Cases'!$I4:$I657,"Not Implemented - Planned")</f>
        <v>0</v>
      </c>
      <c r="Q139" s="58">
        <f t="shared" si="29"/>
        <v>0</v>
      </c>
      <c r="R139" s="59">
        <f>COUNTIFS('Self-Assessment_Cases'!$E$4:$E$657,"SI-7",'Self-Assessment_Cases'!$I4:$I657,"Not Implemented - Unplanned")</f>
        <v>0</v>
      </c>
      <c r="S139" s="59">
        <f t="shared" si="30"/>
        <v>0</v>
      </c>
      <c r="T139" s="60">
        <f>COUNTIFS('Self-Assessment_Cases'!$E$4:$E$657,"SI-7",'Self-Assessment_Cases'!$I4:$I657,"Not Applicable")</f>
        <v>0</v>
      </c>
      <c r="U139" s="61"/>
      <c r="V139" s="68" t="e">
        <f t="shared" si="31"/>
        <v>#REF!</v>
      </c>
      <c r="W139" s="44" t="e">
        <f t="shared" si="32"/>
        <v>#REF!</v>
      </c>
    </row>
  </sheetData>
  <autoFilter ref="A1:W139"/>
  <pageMargins left="0.7" right="0.7" top="0.75" bottom="0.75" header="0.3" footer="0.3"/>
  <ignoredErrors>
    <ignoredError sqref="H26:H27 H28:H42 H44:H139 H2:H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264B981988D748B720C99A4C5F8C51" ma:contentTypeVersion="0" ma:contentTypeDescription="Create a new document." ma:contentTypeScope="" ma:versionID="d00e3ce6de3cf75fc1f09f598b87e04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8246E6-CA4E-448F-9760-C3BC80315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A21BD0-6238-4B0D-8C83-9CE11FD8A5F2}">
  <ds:schemaRefs>
    <ds:schemaRef ds:uri="http://schemas.openxmlformats.org/package/2006/metadata/core-propertie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B09B586-AD60-4767-AE3A-DA75CA6619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Table-of-Contents</vt:lpstr>
      <vt:lpstr>Self-Assessment_Cases</vt:lpstr>
      <vt:lpstr>Control_Status_def</vt:lpstr>
      <vt:lpstr>References</vt:lpstr>
      <vt:lpstr>Control_Scoring</vt:lpstr>
      <vt:lpstr>CCI_Scoring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Matthew [Contractor]</dc:creator>
  <cp:lastModifiedBy>Microsoft Office User</cp:lastModifiedBy>
  <cp:lastPrinted>2016-06-29T03:12:35Z</cp:lastPrinted>
  <dcterms:created xsi:type="dcterms:W3CDTF">2016-02-18T04:15:38Z</dcterms:created>
  <dcterms:modified xsi:type="dcterms:W3CDTF">2017-10-04T15:39:01Z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0x010100D7264B981988D748B720C99A4C5F8C51</vt:lpwstr>
  </property>
  <property fmtid="{D5CDD505-2E9C-101B-9397-08002B2CF9AE}" pid="3" name="TitusGUID">
    <vt:lpwstr>3c23c91f-61ee-44aa-87a2-f3ffdf3ff46f</vt:lpwstr>
  </property>
  <property fmtid="{D5CDD505-2E9C-101B-9397-08002B2CF9AE}" pid="4" name="Name">
    <vt:lpwstr/>
  </property>
  <property fmtid="{D5CDD505-2E9C-101B-9397-08002B2CF9AE}" pid="5" name="Classification">
    <vt:lpwstr>Business</vt:lpwstr>
  </property>
</Properties>
</file>